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475" windowHeight="4710" activeTab="0"/>
  </bookViews>
  <sheets>
    <sheet name="１８表" sheetId="1" r:id="rId1"/>
    <sheet name="180" sheetId="2" state="hidden" r:id="rId2"/>
  </sheets>
  <definedNames>
    <definedName name="_xlnm.Print_Area" localSheetId="1">'180'!$B$2:$P$77</definedName>
    <definedName name="_xlnm.Print_Area" localSheetId="0">'１８表'!$A$2:$Q$85</definedName>
  </definedNames>
  <calcPr fullCalcOnLoad="1"/>
</workbook>
</file>

<file path=xl/comments1.xml><?xml version="1.0" encoding="utf-8"?>
<comments xmlns="http://schemas.openxmlformats.org/spreadsheetml/2006/main">
  <authors>
    <author>厚生労働省ネットワークシステム</author>
  </authors>
  <commentList>
    <comment ref="O4" authorId="0">
      <text>
        <r>
          <rPr>
            <b/>
            <sz val="9"/>
            <rFont val="ＭＳ Ｐゴシック"/>
            <family val="3"/>
          </rPr>
          <t>訂正＊＊回目と入力してください。</t>
        </r>
      </text>
    </comment>
  </commentList>
</comments>
</file>

<file path=xl/sharedStrings.xml><?xml version="1.0" encoding="utf-8"?>
<sst xmlns="http://schemas.openxmlformats.org/spreadsheetml/2006/main" count="328" uniqueCount="175">
  <si>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</si>
  <si>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</si>
  <si>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</si>
  <si>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</si>
  <si>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</si>
  <si>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</si>
  <si>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</si>
  <si>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</si>
  <si>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</si>
  <si>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</si>
  <si>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</si>
  <si>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</si>
  <si>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</si>
  <si>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</si>
  <si>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</si>
  <si>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</si>
  <si>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</si>
  <si>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</si>
  <si>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</si>
  <si>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</si>
  <si>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</si>
  <si>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</si>
  <si>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</si>
  <si>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xml:space="preserve">     修</t>
  </si>
  <si>
    <t>　　　　 金</t>
  </si>
  <si>
    <t xml:space="preserve">    額</t>
  </si>
  <si>
    <t>申請件数</t>
  </si>
  <si>
    <t>決定件数</t>
  </si>
  <si>
    <t>自己負担額</t>
  </si>
  <si>
    <t>(千円)</t>
  </si>
  <si>
    <t>義手</t>
  </si>
  <si>
    <t>(01)</t>
  </si>
  <si>
    <t>義足</t>
  </si>
  <si>
    <t>下肢</t>
  </si>
  <si>
    <t>靴型</t>
  </si>
  <si>
    <t>体幹</t>
  </si>
  <si>
    <t>上肢</t>
  </si>
  <si>
    <t>普通型</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</si>
  <si>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</si>
  <si>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</si>
  <si>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</si>
  <si>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</si>
  <si>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</si>
  <si>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</si>
  <si>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</si>
  <si>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第１８　身体障害者・児の補装具交付及び修理</t>
  </si>
  <si>
    <t>リクライニング式普通型</t>
  </si>
  <si>
    <t>前方大車輪型</t>
  </si>
  <si>
    <t>片手駆動型</t>
  </si>
  <si>
    <t>手押し型</t>
  </si>
  <si>
    <t>普通型(4.5Km/h)</t>
  </si>
  <si>
    <t>普通型(6Km/h)</t>
  </si>
  <si>
    <t>電動リフト式普通型</t>
  </si>
  <si>
    <t>都道府県・指定都市・中核市</t>
  </si>
  <si>
    <t>指定都市　名</t>
  </si>
  <si>
    <t xml:space="preserve">             理</t>
  </si>
  <si>
    <t>(1)</t>
  </si>
  <si>
    <t>＊</t>
  </si>
  <si>
    <t>修　　　　　　　　理</t>
  </si>
  <si>
    <t xml:space="preserve">   購　　　　　　　　入</t>
  </si>
  <si>
    <t>義　　肢</t>
  </si>
  <si>
    <t>装　　具</t>
  </si>
  <si>
    <t>金　　　　　額</t>
  </si>
  <si>
    <t>(1)</t>
  </si>
  <si>
    <t>盲人安全つえ</t>
  </si>
  <si>
    <t>眼　　鏡</t>
  </si>
  <si>
    <t>補　聴　器</t>
  </si>
  <si>
    <t>リクライニング式
前方大車輪型</t>
  </si>
  <si>
    <t>リクライニング式
片手駆動型</t>
  </si>
  <si>
    <t>電動リクライニング式
普通型</t>
  </si>
  <si>
    <t>起立保持具</t>
  </si>
  <si>
    <t>歩行器</t>
  </si>
  <si>
    <t>頭部保持具</t>
  </si>
  <si>
    <t>排便補助具</t>
  </si>
  <si>
    <t>歩行補助つえ</t>
  </si>
  <si>
    <t>リクライニング式
手押し型</t>
  </si>
  <si>
    <t>重度障害者用意思伝達装置</t>
  </si>
  <si>
    <t>計</t>
  </si>
  <si>
    <t>座位保持
装      置</t>
  </si>
  <si>
    <t>耳あな型（レディメイド）</t>
  </si>
  <si>
    <t>耳あな型（オーダーメイド）</t>
  </si>
  <si>
    <t xml:space="preserve">   　年  表</t>
  </si>
  <si>
    <t>(11)</t>
  </si>
  <si>
    <t>骨導式ポケット型</t>
  </si>
  <si>
    <t>ティルト式普通型</t>
  </si>
  <si>
    <t>リクライニング・ティルト式普通型</t>
  </si>
  <si>
    <t>手動リフト式普通型</t>
  </si>
  <si>
    <t>レバー駆動型</t>
  </si>
  <si>
    <t>リクライニング・ティルト式手押し型</t>
  </si>
  <si>
    <t>ティルト式手押し型</t>
  </si>
  <si>
    <t>電動リクライニング・ティルト式普通型</t>
  </si>
  <si>
    <t>(54)</t>
  </si>
  <si>
    <t xml:space="preserve">
一般統計調査</t>
  </si>
  <si>
    <t>（障害者の日常生活及び社会生活を総合的に支援するための法律）</t>
  </si>
  <si>
    <r>
      <t xml:space="preserve">障害者の日常生活及び社会生活を総合的に支援するための法律による公費負担額
</t>
    </r>
    <r>
      <rPr>
        <b/>
        <sz val="9"/>
        <rFont val="ＭＳ Ｐゴシック"/>
        <family val="3"/>
      </rPr>
      <t>(千円）</t>
    </r>
  </si>
  <si>
    <t>義　　眼</t>
  </si>
  <si>
    <t>電動ティルト式普通型</t>
  </si>
  <si>
    <t>（障害者の日常生活及び社会生活を総合的に支援するための法律）</t>
  </si>
  <si>
    <t>姿勢保持機能付車椅子</t>
  </si>
  <si>
    <t>姿勢保持機能付
電動車椅子</t>
  </si>
  <si>
    <t>車　椅　子</t>
  </si>
  <si>
    <t>座位保持椅子</t>
  </si>
  <si>
    <t>電動車椅子</t>
  </si>
  <si>
    <t>第１８　身体障害者・児の補装具費の支給（購入・借受け・修理）</t>
  </si>
  <si>
    <t>借　　　　受　　　　け</t>
  </si>
  <si>
    <t>判定件数</t>
  </si>
  <si>
    <t>借</t>
  </si>
  <si>
    <t>け</t>
  </si>
  <si>
    <t>　受</t>
  </si>
  <si>
    <t>(9)</t>
  </si>
  <si>
    <t>(10)</t>
  </si>
  <si>
    <t>(11)</t>
  </si>
  <si>
    <t>(12)</t>
  </si>
  <si>
    <t>購</t>
  </si>
  <si>
    <t>　　　　入</t>
  </si>
  <si>
    <t>　　３ (9)に計上数があるときは(11)、(12)のいずれかに計上数があること。</t>
  </si>
  <si>
    <t>車椅子又は電動車椅子
機能をもたないもの</t>
  </si>
  <si>
    <t>レディメイド</t>
  </si>
  <si>
    <t>オーダーメイド</t>
  </si>
  <si>
    <t>矯正用</t>
  </si>
  <si>
    <t>遮光用</t>
  </si>
  <si>
    <t>コンタクトレンズ</t>
  </si>
  <si>
    <t>弱視用</t>
  </si>
  <si>
    <t>高度難聴用
ポケット型</t>
  </si>
  <si>
    <t>高度難聴用
耳かけ型</t>
  </si>
  <si>
    <t>重度難聴用
ポケット型</t>
  </si>
  <si>
    <t>重度難聴用
耳かけ型</t>
  </si>
  <si>
    <t>骨導式眼鏡型</t>
  </si>
  <si>
    <t>(13)</t>
  </si>
  <si>
    <t>(14)</t>
  </si>
  <si>
    <t>(15)</t>
  </si>
  <si>
    <t>(16)</t>
  </si>
  <si>
    <t>(17)</t>
  </si>
  <si>
    <t>(18)</t>
  </si>
  <si>
    <t>(19)</t>
  </si>
  <si>
    <t>(20)</t>
  </si>
  <si>
    <t>(21)</t>
  </si>
  <si>
    <t>(22)</t>
  </si>
  <si>
    <t>(23)</t>
  </si>
  <si>
    <t>(24)</t>
  </si>
  <si>
    <t>簡易型</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</si>
  <si>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</si>
  <si>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</si>
  <si>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</si>
  <si>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</si>
  <si>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</si>
  <si>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</si>
  <si>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</si>
  <si>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</si>
  <si>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</si>
  <si>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</si>
  <si>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</si>
  <si>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</si>
  <si>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</si>
  <si>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</si>
  <si>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</si>
  <si>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</si>
  <si>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</si>
  <si>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</si>
  <si>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</si>
  <si>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</si>
  <si>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</si>
  <si>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</si>
  <si>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</si>
  <si>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</si>
  <si>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</si>
  <si>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</si>
  <si>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</si>
  <si>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</si>
  <si>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</si>
  <si>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(9)</t>
  </si>
  <si>
    <t>　  ３ (5)に計上数があるときは(1)に計上数があること。</t>
  </si>
  <si>
    <t>障害者の日常生活及び社会生活を総合的に支援するための法律による公費負担額
(円）</t>
  </si>
  <si>
    <t>自己負担額
(円）</t>
  </si>
  <si>
    <t>市町村名　浦安市</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</si>
</sst>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72">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b/>
      <sz val="16"/>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9"/>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4"/>
      <color indexed="10"/>
      <name val="ＭＳ 明朝"/>
      <family val="1"/>
    </font>
    <font>
      <sz val="13"/>
      <name val="ＭＳ Ｐゴシック"/>
      <family val="3"/>
    </font>
    <font>
      <sz val="10"/>
      <name val="ＭＳ Ｐゴシック"/>
      <family val="3"/>
    </font>
    <font>
      <sz val="12"/>
      <color indexed="10"/>
      <name val="ＭＳ 明朝"/>
      <family val="1"/>
    </font>
    <font>
      <sz val="10"/>
      <color indexed="8"/>
      <name val="ＭＳ Ｐ明朝"/>
      <family val="1"/>
    </font>
    <font>
      <sz val="9"/>
      <name val="ＭＳ Ｐゴシック"/>
      <family val="3"/>
    </font>
    <font>
      <b/>
      <sz val="14"/>
      <name val="ＭＳ ゴシック"/>
      <family val="3"/>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1"/>
      <color rgb="FFFF0000"/>
      <name val="ＭＳ 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hair"/>
      <right>
        <color indexed="63"/>
      </right>
      <top style="hair"/>
      <bottom>
        <color indexed="63"/>
      </bottom>
    </border>
    <border>
      <left>
        <color indexed="63"/>
      </left>
      <right>
        <color indexed="63"/>
      </right>
      <top>
        <color indexed="63"/>
      </top>
      <bottom style="hair"/>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8"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151">
    <xf numFmtId="0" fontId="0" fillId="0" borderId="0" xfId="0" applyAlignment="1">
      <alignment/>
    </xf>
    <xf numFmtId="0" fontId="10" fillId="0" borderId="0" xfId="0" applyFont="1" applyAlignment="1" applyProtection="1">
      <alignment/>
      <protection hidden="1"/>
    </xf>
    <xf numFmtId="0" fontId="10" fillId="0" borderId="0" xfId="61" applyFont="1" applyProtection="1">
      <alignment vertical="center"/>
      <protection hidden="1"/>
    </xf>
    <xf numFmtId="0" fontId="0" fillId="0" borderId="0" xfId="0" applyAlignment="1" applyProtection="1">
      <alignment/>
      <protection hidden="1"/>
    </xf>
    <xf numFmtId="49" fontId="14"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8" fillId="0" borderId="0" xfId="0" applyNumberFormat="1" applyFont="1" applyBorder="1" applyAlignment="1" applyProtection="1">
      <alignment/>
      <protection hidden="1"/>
    </xf>
    <xf numFmtId="0" fontId="8" fillId="0" borderId="0" xfId="0" applyFont="1" applyAlignment="1" applyProtection="1">
      <alignment/>
      <protection hidden="1"/>
    </xf>
    <xf numFmtId="49" fontId="8"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7" fillId="0" borderId="0" xfId="0" applyFont="1" applyAlignment="1" applyProtection="1">
      <alignment horizontal="left" vertical="center"/>
      <protection hidden="1"/>
    </xf>
    <xf numFmtId="0" fontId="14" fillId="0" borderId="0" xfId="0" applyNumberFormat="1" applyFont="1" applyFill="1" applyAlignment="1" applyProtection="1">
      <alignment/>
      <protection hidden="1"/>
    </xf>
    <xf numFmtId="0" fontId="8" fillId="0" borderId="10" xfId="0" applyFont="1" applyBorder="1" applyAlignment="1" applyProtection="1">
      <alignment horizontal="right" vertical="center"/>
      <protection hidden="1"/>
    </xf>
    <xf numFmtId="0" fontId="10"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4" fillId="0" borderId="0" xfId="0" applyFont="1" applyAlignment="1" applyProtection="1">
      <alignment/>
      <protection hidden="1"/>
    </xf>
    <xf numFmtId="0" fontId="10" fillId="35" borderId="18" xfId="0" applyFont="1" applyFill="1" applyBorder="1" applyAlignment="1" applyProtection="1">
      <alignment/>
      <protection hidden="1"/>
    </xf>
    <xf numFmtId="0" fontId="10"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10" fillId="35" borderId="21" xfId="0" applyFont="1" applyFill="1" applyBorder="1" applyAlignment="1" applyProtection="1">
      <alignment/>
      <protection hidden="1"/>
    </xf>
    <xf numFmtId="0" fontId="10"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9" fillId="0" borderId="0" xfId="0" applyNumberFormat="1"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49" fontId="8" fillId="0" borderId="0" xfId="0" applyNumberFormat="1" applyFont="1" applyAlignment="1" applyProtection="1">
      <alignment/>
      <protection hidden="1"/>
    </xf>
    <xf numFmtId="0" fontId="8" fillId="0" borderId="0" xfId="0" applyNumberFormat="1" applyFont="1" applyAlignment="1" applyProtection="1">
      <alignment/>
      <protection hidden="1"/>
    </xf>
    <xf numFmtId="0" fontId="6" fillId="0" borderId="0" xfId="0" applyFont="1" applyBorder="1" applyAlignment="1" applyProtection="1">
      <alignment/>
      <protection hidden="1"/>
    </xf>
    <xf numFmtId="0" fontId="13" fillId="0" borderId="0" xfId="0" applyFont="1" applyBorder="1" applyAlignment="1" applyProtection="1">
      <alignment/>
      <protection hidden="1"/>
    </xf>
    <xf numFmtId="49" fontId="0" fillId="0" borderId="0" xfId="0" applyNumberFormat="1" applyBorder="1" applyAlignment="1" applyProtection="1">
      <alignment/>
      <protection hidden="1"/>
    </xf>
    <xf numFmtId="0" fontId="13" fillId="0" borderId="0" xfId="0" applyFont="1" applyAlignment="1" applyProtection="1">
      <alignment/>
      <protection hidden="1"/>
    </xf>
    <xf numFmtId="0" fontId="8"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8" fillId="0" borderId="10" xfId="0" applyFont="1" applyBorder="1" applyAlignment="1" applyProtection="1">
      <alignment/>
      <protection hidden="1"/>
    </xf>
    <xf numFmtId="191" fontId="9" fillId="33" borderId="17" xfId="0" applyNumberFormat="1" applyFont="1" applyFill="1" applyBorder="1" applyAlignment="1">
      <alignment vertical="center"/>
    </xf>
    <xf numFmtId="0" fontId="0" fillId="36" borderId="0" xfId="0" applyFill="1" applyAlignment="1">
      <alignment/>
    </xf>
    <xf numFmtId="0" fontId="13"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3"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6" fillId="0" borderId="0" xfId="0" applyFont="1" applyFill="1" applyAlignment="1" applyProtection="1">
      <alignment/>
      <protection hidden="1"/>
    </xf>
    <xf numFmtId="0" fontId="18" fillId="0" borderId="10" xfId="0" applyFont="1" applyBorder="1" applyAlignment="1" applyProtection="1">
      <alignment/>
      <protection hidden="1"/>
    </xf>
    <xf numFmtId="0" fontId="19" fillId="0" borderId="13" xfId="0" applyFont="1" applyBorder="1" applyAlignment="1" applyProtection="1">
      <alignment/>
      <protection hidden="1"/>
    </xf>
    <xf numFmtId="0" fontId="0" fillId="0" borderId="13" xfId="0" applyBorder="1" applyAlignment="1" applyProtection="1">
      <alignment/>
      <protection hidden="1"/>
    </xf>
    <xf numFmtId="0" fontId="19" fillId="39" borderId="12" xfId="0" applyFont="1" applyFill="1" applyBorder="1" applyAlignment="1" applyProtection="1">
      <alignment horizontal="distributed" vertical="center" shrinkToFit="1"/>
      <protection hidden="1"/>
    </xf>
    <xf numFmtId="49" fontId="19" fillId="34" borderId="16" xfId="0" applyNumberFormat="1"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12" xfId="0" applyFont="1" applyFill="1" applyBorder="1" applyAlignment="1" applyProtection="1">
      <alignment horizontal="distributed" vertical="center" wrapText="1"/>
      <protection hidden="1"/>
    </xf>
    <xf numFmtId="49" fontId="19" fillId="39" borderId="14" xfId="0" applyNumberFormat="1" applyFont="1" applyFill="1" applyBorder="1" applyAlignment="1" applyProtection="1">
      <alignment horizontal="center" vertical="center"/>
      <protection hidden="1"/>
    </xf>
    <xf numFmtId="49" fontId="19" fillId="39" borderId="29" xfId="0" applyNumberFormat="1" applyFont="1" applyFill="1" applyBorder="1" applyAlignment="1" applyProtection="1">
      <alignment horizontal="center" vertical="center"/>
      <protection hidden="1"/>
    </xf>
    <xf numFmtId="191" fontId="21" fillId="40" borderId="30" xfId="0" applyNumberFormat="1" applyFont="1" applyFill="1" applyBorder="1" applyAlignment="1" applyProtection="1">
      <alignment horizontal="right" vertical="center"/>
      <protection hidden="1"/>
    </xf>
    <xf numFmtId="0" fontId="19" fillId="39" borderId="13" xfId="0" applyFont="1" applyFill="1" applyBorder="1" applyAlignment="1" applyProtection="1">
      <alignment horizontal="distributed" vertical="center" wrapText="1"/>
      <protection hidden="1"/>
    </xf>
    <xf numFmtId="0" fontId="17" fillId="0" borderId="0" xfId="0" applyFont="1" applyBorder="1" applyAlignment="1" applyProtection="1">
      <alignment horizontal="center" vertical="center"/>
      <protection hidden="1"/>
    </xf>
    <xf numFmtId="0" fontId="16" fillId="0" borderId="0" xfId="0" applyFont="1" applyAlignment="1" applyProtection="1">
      <alignment/>
      <protection hidden="1"/>
    </xf>
    <xf numFmtId="0" fontId="22" fillId="0" borderId="17" xfId="0" applyNumberFormat="1" applyFont="1" applyBorder="1" applyAlignment="1" applyProtection="1">
      <alignment horizontal="center" vertical="center"/>
      <protection hidden="1"/>
    </xf>
    <xf numFmtId="49" fontId="8" fillId="0" borderId="10"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23" fillId="0" borderId="0" xfId="0" applyNumberFormat="1" applyFont="1" applyFill="1" applyAlignment="1" applyProtection="1">
      <alignment vertical="center"/>
      <protection hidden="1"/>
    </xf>
    <xf numFmtId="0" fontId="23" fillId="0" borderId="0" xfId="0" applyFont="1" applyAlignment="1" applyProtection="1">
      <alignment/>
      <protection hidden="1"/>
    </xf>
    <xf numFmtId="0" fontId="24" fillId="39" borderId="12" xfId="0" applyFont="1" applyFill="1" applyBorder="1" applyAlignment="1" applyProtection="1">
      <alignment horizontal="distributed" vertical="center"/>
      <protection hidden="1"/>
    </xf>
    <xf numFmtId="0" fontId="14" fillId="0" borderId="0" xfId="0" applyNumberFormat="1" applyFont="1" applyFill="1" applyAlignment="1" applyProtection="1">
      <alignment vertical="center"/>
      <protection hidden="1"/>
    </xf>
    <xf numFmtId="0" fontId="26" fillId="0" borderId="0" xfId="0" applyFont="1" applyFill="1" applyAlignment="1" applyProtection="1">
      <alignment/>
      <protection hidden="1"/>
    </xf>
    <xf numFmtId="49" fontId="26" fillId="0" borderId="0" xfId="0" applyNumberFormat="1" applyFont="1" applyFill="1" applyAlignment="1" applyProtection="1">
      <alignment/>
      <protection hidden="1"/>
    </xf>
    <xf numFmtId="0" fontId="0" fillId="0" borderId="0" xfId="0" applyFont="1" applyAlignment="1" applyProtection="1">
      <alignment/>
      <protection hidden="1"/>
    </xf>
    <xf numFmtId="0" fontId="68" fillId="0" borderId="0" xfId="0" applyFont="1" applyAlignment="1" applyProtection="1">
      <alignment/>
      <protection hidden="1"/>
    </xf>
    <xf numFmtId="0" fontId="69" fillId="0" borderId="0" xfId="0" applyFont="1" applyFill="1" applyAlignment="1" applyProtection="1">
      <alignment horizontal="left"/>
      <protection hidden="1"/>
    </xf>
    <xf numFmtId="191" fontId="21" fillId="33" borderId="17" xfId="0" applyNumberFormat="1" applyFont="1" applyFill="1" applyBorder="1" applyAlignment="1" applyProtection="1">
      <alignment horizontal="right" vertical="center"/>
      <protection locked="0"/>
    </xf>
    <xf numFmtId="0" fontId="27" fillId="0" borderId="0" xfId="0" applyFont="1" applyBorder="1" applyAlignment="1" applyProtection="1">
      <alignment horizontal="center" vertical="center" wrapText="1"/>
      <protection/>
    </xf>
    <xf numFmtId="0" fontId="27" fillId="0" borderId="0" xfId="0" applyFont="1" applyBorder="1" applyAlignment="1" applyProtection="1">
      <alignment vertical="center" wrapText="1"/>
      <protection/>
    </xf>
    <xf numFmtId="49" fontId="22" fillId="33" borderId="17" xfId="0" applyNumberFormat="1" applyFont="1" applyFill="1" applyBorder="1" applyAlignment="1" applyProtection="1">
      <alignment horizontal="center" vertical="center"/>
      <protection locked="0"/>
    </xf>
    <xf numFmtId="49" fontId="14" fillId="33" borderId="0" xfId="0" applyNumberFormat="1" applyFont="1" applyFill="1" applyBorder="1" applyAlignment="1" applyProtection="1">
      <alignment vertical="center"/>
      <protection locked="0"/>
    </xf>
    <xf numFmtId="0" fontId="70" fillId="0" borderId="0" xfId="0" applyFont="1" applyAlignment="1" applyProtection="1" quotePrefix="1">
      <alignment/>
      <protection hidden="1"/>
    </xf>
    <xf numFmtId="0" fontId="8" fillId="0" borderId="0" xfId="0" applyFont="1" applyBorder="1" applyAlignment="1" applyProtection="1">
      <alignment horizontal="right" vertical="center"/>
      <protection hidden="1"/>
    </xf>
    <xf numFmtId="0" fontId="8" fillId="0" borderId="0" xfId="0" applyFont="1" applyBorder="1" applyAlignment="1" applyProtection="1">
      <alignment/>
      <protection hidden="1"/>
    </xf>
    <xf numFmtId="191" fontId="21" fillId="41" borderId="31" xfId="0" applyNumberFormat="1" applyFont="1" applyFill="1" applyBorder="1" applyAlignment="1" applyProtection="1">
      <alignment horizontal="right" vertical="center"/>
      <protection hidden="1" locked="0"/>
    </xf>
    <xf numFmtId="0" fontId="70" fillId="0" borderId="0" xfId="0" applyFont="1" applyAlignment="1" applyProtection="1">
      <alignment/>
      <protection hidden="1"/>
    </xf>
    <xf numFmtId="0" fontId="0" fillId="0" borderId="0" xfId="0" applyFill="1" applyAlignment="1" applyProtection="1">
      <alignment/>
      <protection hidden="1"/>
    </xf>
    <xf numFmtId="49" fontId="8" fillId="0" borderId="0" xfId="0" applyNumberFormat="1" applyFont="1" applyBorder="1" applyAlignment="1" applyProtection="1">
      <alignment vertical="center"/>
      <protection hidden="1"/>
    </xf>
    <xf numFmtId="0" fontId="30" fillId="0" borderId="0" xfId="0" applyFont="1" applyAlignment="1" applyProtection="1">
      <alignment horizontal="left" vertical="center"/>
      <protection hidden="1"/>
    </xf>
    <xf numFmtId="0" fontId="18" fillId="0" borderId="0" xfId="0" applyFont="1" applyBorder="1" applyAlignment="1" applyProtection="1">
      <alignment/>
      <protection hidden="1"/>
    </xf>
    <xf numFmtId="0" fontId="19" fillId="0" borderId="0" xfId="0" applyFont="1" applyBorder="1" applyAlignment="1" applyProtection="1">
      <alignment/>
      <protection hidden="1"/>
    </xf>
    <xf numFmtId="0" fontId="6" fillId="0" borderId="32" xfId="0" applyFont="1" applyBorder="1" applyAlignment="1" applyProtection="1">
      <alignment/>
      <protection hidden="1"/>
    </xf>
    <xf numFmtId="0" fontId="6" fillId="0" borderId="33" xfId="0" applyFont="1" applyBorder="1" applyAlignment="1" applyProtection="1">
      <alignment/>
      <protection hidden="1"/>
    </xf>
    <xf numFmtId="0" fontId="10" fillId="0" borderId="0" xfId="0" applyFont="1" applyFill="1" applyAlignment="1" applyProtection="1">
      <alignment horizontal="left"/>
      <protection hidden="1"/>
    </xf>
    <xf numFmtId="0" fontId="12"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NumberFormat="1" applyFont="1" applyBorder="1" applyAlignment="1" applyProtection="1">
      <alignment/>
      <protection hidden="1"/>
    </xf>
    <xf numFmtId="0" fontId="29" fillId="0" borderId="0" xfId="0" applyFont="1" applyFill="1" applyAlignment="1" applyProtection="1">
      <alignment vertical="center"/>
      <protection hidden="1"/>
    </xf>
    <xf numFmtId="0" fontId="10" fillId="0" borderId="0" xfId="0" applyFont="1" applyAlignment="1" applyProtection="1">
      <alignment horizontal="center"/>
      <protection hidden="1"/>
    </xf>
    <xf numFmtId="0" fontId="20" fillId="34" borderId="12" xfId="0" applyFont="1" applyFill="1" applyBorder="1" applyAlignment="1" applyProtection="1">
      <alignment horizontal="center"/>
      <protection hidden="1"/>
    </xf>
    <xf numFmtId="0" fontId="20" fillId="34" borderId="13" xfId="0" applyFont="1" applyFill="1" applyBorder="1" applyAlignment="1" applyProtection="1">
      <alignment horizontal="center"/>
      <protection hidden="1"/>
    </xf>
    <xf numFmtId="0" fontId="20" fillId="34" borderId="14" xfId="0" applyFont="1" applyFill="1" applyBorder="1" applyAlignment="1" applyProtection="1">
      <alignment horizontal="center"/>
      <protection hidden="1"/>
    </xf>
    <xf numFmtId="0" fontId="20" fillId="34" borderId="11" xfId="0" applyFont="1" applyFill="1" applyBorder="1" applyAlignment="1" applyProtection="1">
      <alignment horizontal="center" vertical="center"/>
      <protection hidden="1"/>
    </xf>
    <xf numFmtId="0" fontId="20" fillId="34" borderId="15"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vertical="center"/>
      <protection hidden="1"/>
    </xf>
    <xf numFmtId="0" fontId="20" fillId="34" borderId="14"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9" fillId="34" borderId="11" xfId="0" applyFont="1" applyFill="1" applyBorder="1" applyAlignment="1" applyProtection="1">
      <alignment horizontal="center" vertical="center" wrapText="1"/>
      <protection hidden="1"/>
    </xf>
    <xf numFmtId="0" fontId="19" fillId="34" borderId="15" xfId="0" applyFont="1" applyFill="1" applyBorder="1" applyAlignment="1" applyProtection="1">
      <alignment horizontal="center" vertical="center"/>
      <protection hidden="1"/>
    </xf>
    <xf numFmtId="0" fontId="19" fillId="39" borderId="11" xfId="0" applyFont="1" applyFill="1" applyBorder="1" applyAlignment="1" applyProtection="1">
      <alignment horizontal="center" vertical="center"/>
      <protection hidden="1"/>
    </xf>
    <xf numFmtId="0" fontId="19" fillId="39" borderId="15" xfId="0" applyFont="1" applyFill="1" applyBorder="1" applyAlignment="1" applyProtection="1">
      <alignment horizontal="center" vertical="center"/>
      <protection hidden="1"/>
    </xf>
    <xf numFmtId="0" fontId="19" fillId="39" borderId="16" xfId="0" applyFont="1" applyFill="1" applyBorder="1" applyAlignment="1" applyProtection="1">
      <alignment horizontal="center" vertical="center"/>
      <protection hidden="1"/>
    </xf>
    <xf numFmtId="0" fontId="19" fillId="0" borderId="15" xfId="0" applyFont="1" applyBorder="1" applyAlignment="1" applyProtection="1">
      <alignment horizontal="center" vertical="center"/>
      <protection/>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34" xfId="0" applyFont="1" applyFill="1" applyBorder="1" applyAlignment="1" applyProtection="1">
      <alignment horizontal="distributed" vertical="center"/>
      <protection hidden="1"/>
    </xf>
    <xf numFmtId="0" fontId="19" fillId="39" borderId="35" xfId="0" applyFont="1" applyFill="1" applyBorder="1" applyAlignment="1" applyProtection="1">
      <alignment horizontal="distributed" vertical="center"/>
      <protection hidden="1"/>
    </xf>
    <xf numFmtId="0" fontId="19" fillId="39" borderId="11" xfId="0" applyFont="1" applyFill="1" applyBorder="1" applyAlignment="1" applyProtection="1">
      <alignment horizontal="center" vertical="center" wrapText="1"/>
      <protection hidden="1"/>
    </xf>
    <xf numFmtId="0" fontId="19" fillId="39" borderId="36" xfId="0" applyFont="1" applyFill="1" applyBorder="1" applyAlignment="1" applyProtection="1">
      <alignment horizontal="center" vertical="center"/>
      <protection hidden="1"/>
    </xf>
    <xf numFmtId="0" fontId="19" fillId="39" borderId="37" xfId="0" applyFont="1" applyFill="1" applyBorder="1" applyAlignment="1" applyProtection="1">
      <alignment horizontal="center" vertical="center"/>
      <protection hidden="1"/>
    </xf>
    <xf numFmtId="0" fontId="25" fillId="0" borderId="0" xfId="0" applyFont="1" applyBorder="1" applyAlignment="1" applyProtection="1">
      <alignment horizontal="center" vertical="center" wrapText="1"/>
      <protection hidden="1"/>
    </xf>
    <xf numFmtId="0" fontId="28" fillId="34" borderId="11" xfId="0" applyFont="1" applyFill="1" applyBorder="1" applyAlignment="1" applyProtection="1">
      <alignment horizontal="center" vertical="center" wrapText="1"/>
      <protection hidden="1"/>
    </xf>
    <xf numFmtId="0" fontId="28" fillId="34" borderId="15" xfId="0" applyFont="1" applyFill="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171450</xdr:rowOff>
    </xdr:from>
    <xdr:to>
      <xdr:col>1</xdr:col>
      <xdr:colOff>781050</xdr:colOff>
      <xdr:row>20</xdr:row>
      <xdr:rowOff>142875</xdr:rowOff>
    </xdr:to>
    <xdr:sp>
      <xdr:nvSpPr>
        <xdr:cNvPr id="1" name="Text Box 2"/>
        <xdr:cNvSpPr txBox="1">
          <a:spLocks noChangeArrowheads="1"/>
        </xdr:cNvSpPr>
      </xdr:nvSpPr>
      <xdr:spPr>
        <a:xfrm>
          <a:off x="266700" y="4191000"/>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R127"/>
  <sheetViews>
    <sheetView showGridLines="0" tabSelected="1" zoomScale="75" zoomScaleNormal="75" zoomScalePageLayoutView="0" workbookViewId="0" topLeftCell="A1">
      <selection activeCell="A1" sqref="A1"/>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16" width="18.625" style="3" customWidth="1"/>
    <col min="17" max="17" width="9.25390625" style="17" bestFit="1" customWidth="1"/>
    <col min="18" max="16384" width="9.00390625" style="3" customWidth="1"/>
  </cols>
  <sheetData>
    <row r="1" ht="13.5"/>
    <row r="2" spans="2:16" ht="18">
      <c r="B2" s="104"/>
      <c r="E2" s="124"/>
      <c r="F2" s="113"/>
      <c r="G2" s="113"/>
      <c r="H2" s="113"/>
      <c r="I2" s="113"/>
      <c r="J2" s="113"/>
      <c r="K2" s="113"/>
      <c r="L2" s="113"/>
      <c r="M2" s="113"/>
      <c r="N2" s="113"/>
      <c r="O2" s="113"/>
      <c r="P2" s="113"/>
    </row>
    <row r="3" spans="1:2" ht="13.5" customHeight="1">
      <c r="A3" s="105" t="s">
        <v>92</v>
      </c>
      <c r="B3" s="148"/>
    </row>
    <row r="4" spans="1:17" ht="26.25">
      <c r="A4" s="105"/>
      <c r="B4" s="148"/>
      <c r="G4" s="115" t="s">
        <v>103</v>
      </c>
      <c r="O4" s="107" t="s">
        <v>57</v>
      </c>
      <c r="Q4" s="3"/>
    </row>
    <row r="5" spans="3:17" ht="16.5" customHeight="1">
      <c r="C5" s="19"/>
      <c r="G5" s="125" t="s">
        <v>93</v>
      </c>
      <c r="H5" s="125"/>
      <c r="I5" s="125"/>
      <c r="J5" s="125"/>
      <c r="K5" s="125"/>
      <c r="L5" s="125"/>
      <c r="O5" s="6"/>
      <c r="Q5" s="3"/>
    </row>
    <row r="6" spans="11:17" ht="19.5" customHeight="1">
      <c r="K6" s="114"/>
      <c r="L6" s="109"/>
      <c r="O6" s="6"/>
      <c r="P6" s="89">
        <f>IF(ISERROR(IF(OR($C$7="",$C$7=" ",$C$7="  "),"",VLOOKUP($C$7,#REF!,2,"FALSE")))=TRUE,"",IF(OR($C$7="",$C$7=" ",$C$7="  "),"",VLOOKUP($C$7,#REF!,2,"FALSE")))</f>
      </c>
      <c r="Q6" s="3"/>
    </row>
    <row r="7" spans="2:17" ht="26.25" customHeight="1">
      <c r="B7" s="91">
        <v>3000180</v>
      </c>
      <c r="C7" s="106"/>
      <c r="D7" s="22"/>
      <c r="E7" s="94"/>
      <c r="K7" s="114"/>
      <c r="L7" s="109"/>
      <c r="O7" s="92" t="s">
        <v>174</v>
      </c>
      <c r="P7" s="20"/>
      <c r="Q7" s="23"/>
    </row>
    <row r="8" spans="2:17" ht="19.5" customHeight="1">
      <c r="B8" s="93" t="s">
        <v>81</v>
      </c>
      <c r="C8" s="93"/>
      <c r="D8" s="22"/>
      <c r="E8" s="95">
        <f>IF(COUNTBLANK(E18:H71),"※値がない欄にも「0」を入力して下さい！",IF(COUNTBLANK(I18:L26),"※値がない欄にも「0」を入力して下さい！",IF(COUNTBLANK(I64:L64),"※値がない欄にも「0」を入力して下さい！",IF(COUNTBLANK(I66:L66),"※値がない欄にも「0」を入力して下さい！",IF(COUNTBLANK(I70:L71),"※値がない欄にも「0」を入力して下さい！",IF(COUNTBLANK(M18:P71),"※値がない欄にも「0」を入力して下さい！",""))))))</f>
      </c>
      <c r="H8" s="90"/>
      <c r="K8" s="114"/>
      <c r="L8" s="109"/>
      <c r="O8" s="77" t="str">
        <f>"平成      "&amp;WIDECHAR(LEFTB(B7,2))&amp;"     年度分報告"</f>
        <v>平成      ３０     年度分報告</v>
      </c>
      <c r="P8" s="78"/>
      <c r="Q8" s="79"/>
    </row>
    <row r="9" spans="2:17" ht="19.5" customHeight="1">
      <c r="B9" s="93"/>
      <c r="C9" s="93"/>
      <c r="D9" s="22"/>
      <c r="E9" s="95"/>
      <c r="H9" s="90"/>
      <c r="K9" s="114"/>
      <c r="L9" s="109"/>
      <c r="O9" s="116"/>
      <c r="P9" s="117"/>
      <c r="Q9" s="5"/>
    </row>
    <row r="10" spans="7:17" ht="13.5">
      <c r="G10" s="25" t="s">
        <v>21</v>
      </c>
      <c r="Q10" s="24"/>
    </row>
    <row r="11" spans="2:16" ht="24" customHeight="1">
      <c r="B11" s="26"/>
      <c r="C11" s="27"/>
      <c r="D11" s="28"/>
      <c r="E11" s="126" t="s">
        <v>59</v>
      </c>
      <c r="F11" s="127"/>
      <c r="G11" s="127"/>
      <c r="H11" s="128"/>
      <c r="I11" s="126" t="s">
        <v>104</v>
      </c>
      <c r="J11" s="127"/>
      <c r="K11" s="127"/>
      <c r="L11" s="128"/>
      <c r="M11" s="126" t="s">
        <v>58</v>
      </c>
      <c r="N11" s="127"/>
      <c r="O11" s="127"/>
      <c r="P11" s="128"/>
    </row>
    <row r="12" spans="2:16" ht="20.25" customHeight="1">
      <c r="B12" s="29"/>
      <c r="C12" s="30"/>
      <c r="D12" s="31"/>
      <c r="E12" s="129" t="s">
        <v>26</v>
      </c>
      <c r="F12" s="129" t="s">
        <v>27</v>
      </c>
      <c r="G12" s="131" t="s">
        <v>62</v>
      </c>
      <c r="H12" s="132"/>
      <c r="I12" s="129" t="s">
        <v>105</v>
      </c>
      <c r="J12" s="129" t="s">
        <v>27</v>
      </c>
      <c r="K12" s="131" t="s">
        <v>62</v>
      </c>
      <c r="L12" s="132"/>
      <c r="M12" s="129" t="s">
        <v>26</v>
      </c>
      <c r="N12" s="129" t="s">
        <v>27</v>
      </c>
      <c r="O12" s="131" t="s">
        <v>62</v>
      </c>
      <c r="P12" s="132"/>
    </row>
    <row r="13" spans="2:16" ht="14.25" customHeight="1">
      <c r="B13" s="29"/>
      <c r="C13" s="30"/>
      <c r="D13" s="31"/>
      <c r="E13" s="130"/>
      <c r="F13" s="130"/>
      <c r="G13" s="133" t="s">
        <v>172</v>
      </c>
      <c r="H13" s="135" t="s">
        <v>173</v>
      </c>
      <c r="I13" s="130"/>
      <c r="J13" s="130"/>
      <c r="K13" s="133" t="s">
        <v>172</v>
      </c>
      <c r="L13" s="135" t="s">
        <v>173</v>
      </c>
      <c r="M13" s="130"/>
      <c r="N13" s="130"/>
      <c r="O13" s="133" t="s">
        <v>172</v>
      </c>
      <c r="P13" s="135" t="s">
        <v>173</v>
      </c>
    </row>
    <row r="14" spans="2:16" ht="14.25">
      <c r="B14" s="29"/>
      <c r="C14" s="30"/>
      <c r="D14" s="31"/>
      <c r="E14" s="130"/>
      <c r="F14" s="130"/>
      <c r="G14" s="134"/>
      <c r="H14" s="136"/>
      <c r="I14" s="130"/>
      <c r="J14" s="130"/>
      <c r="K14" s="134"/>
      <c r="L14" s="136"/>
      <c r="M14" s="130"/>
      <c r="N14" s="130"/>
      <c r="O14" s="134"/>
      <c r="P14" s="136"/>
    </row>
    <row r="15" spans="2:16" ht="14.25">
      <c r="B15" s="29"/>
      <c r="C15" s="30"/>
      <c r="D15" s="31"/>
      <c r="E15" s="130"/>
      <c r="F15" s="130"/>
      <c r="G15" s="134"/>
      <c r="H15" s="136"/>
      <c r="I15" s="130"/>
      <c r="J15" s="130"/>
      <c r="K15" s="134"/>
      <c r="L15" s="136"/>
      <c r="M15" s="130"/>
      <c r="N15" s="130"/>
      <c r="O15" s="134"/>
      <c r="P15" s="136"/>
    </row>
    <row r="16" spans="2:16" ht="36" customHeight="1">
      <c r="B16" s="29"/>
      <c r="C16" s="30"/>
      <c r="D16" s="31"/>
      <c r="E16" s="130"/>
      <c r="F16" s="130"/>
      <c r="G16" s="134"/>
      <c r="H16" s="136"/>
      <c r="I16" s="130"/>
      <c r="J16" s="130"/>
      <c r="K16" s="134"/>
      <c r="L16" s="136"/>
      <c r="M16" s="130"/>
      <c r="N16" s="130"/>
      <c r="O16" s="134"/>
      <c r="P16" s="136"/>
    </row>
    <row r="17" spans="2:17" s="35" customFormat="1" ht="19.5" customHeight="1">
      <c r="B17" s="36"/>
      <c r="C17" s="37"/>
      <c r="D17" s="38"/>
      <c r="E17" s="81" t="s">
        <v>63</v>
      </c>
      <c r="F17" s="81" t="s">
        <v>19</v>
      </c>
      <c r="G17" s="81" t="s">
        <v>1</v>
      </c>
      <c r="H17" s="81" t="s">
        <v>2</v>
      </c>
      <c r="I17" s="81" t="s">
        <v>14</v>
      </c>
      <c r="J17" s="81" t="s">
        <v>15</v>
      </c>
      <c r="K17" s="81" t="s">
        <v>16</v>
      </c>
      <c r="L17" s="81" t="s">
        <v>17</v>
      </c>
      <c r="M17" s="81" t="s">
        <v>170</v>
      </c>
      <c r="N17" s="81" t="s">
        <v>11</v>
      </c>
      <c r="O17" s="81" t="s">
        <v>111</v>
      </c>
      <c r="P17" s="81" t="s">
        <v>112</v>
      </c>
      <c r="Q17" s="39"/>
    </row>
    <row r="18" spans="2:17" s="40" customFormat="1" ht="30.75" customHeight="1">
      <c r="B18" s="137" t="s">
        <v>60</v>
      </c>
      <c r="C18" s="80" t="s">
        <v>30</v>
      </c>
      <c r="D18" s="85" t="s">
        <v>31</v>
      </c>
      <c r="E18" s="103">
        <v>1</v>
      </c>
      <c r="F18" s="103">
        <v>1</v>
      </c>
      <c r="G18" s="103">
        <v>133660</v>
      </c>
      <c r="H18" s="103">
        <v>14852</v>
      </c>
      <c r="I18" s="103">
        <v>0</v>
      </c>
      <c r="J18" s="103">
        <v>0</v>
      </c>
      <c r="K18" s="103">
        <v>0</v>
      </c>
      <c r="L18" s="103">
        <v>0</v>
      </c>
      <c r="M18" s="103">
        <v>1</v>
      </c>
      <c r="N18" s="103">
        <v>1</v>
      </c>
      <c r="O18" s="103">
        <v>90499</v>
      </c>
      <c r="P18" s="103">
        <v>10056</v>
      </c>
      <c r="Q18" s="97">
        <f>IF(F18&gt;=1,IF(OR(G18&gt;=1,H18&gt;=1),"","表側(01)の(3)、(4)のいずれかに計上数を入力して下さい！"),"")&amp;IF(J18&gt;=1,IF(OR(K18&gt;=1,L18&gt;=1),"","表側(01)の(7)、(8)のいずれかに計上数を入力してください！"),"")&amp;IF(N18&gt;=1,IF(OR(O18&gt;=1,P18&gt;=1),"","表側(01)の(11)、(12)のいずれかに計上数を入力してください！"),"")&amp;IF(AND(E18&gt;=F18,I18&gt;=J18,M18&gt;=N18),"","表側(01)では申請件数（借受けは判定件数）≧決定件数となるので見直して下さい！")&amp;IF(AND(E18&gt;=I18),"","表側(01)では申請件数(1)≧判定件数(5)となるので見直して下さい！")</f>
      </c>
    </row>
    <row r="19" spans="2:17" ht="30.75" customHeight="1">
      <c r="B19" s="139"/>
      <c r="C19" s="80" t="s">
        <v>32</v>
      </c>
      <c r="D19" s="85" t="s">
        <v>3</v>
      </c>
      <c r="E19" s="103">
        <v>6</v>
      </c>
      <c r="F19" s="103">
        <v>6</v>
      </c>
      <c r="G19" s="103">
        <v>2133688</v>
      </c>
      <c r="H19" s="103">
        <v>37200</v>
      </c>
      <c r="I19" s="103">
        <v>0</v>
      </c>
      <c r="J19" s="103">
        <v>0</v>
      </c>
      <c r="K19" s="103">
        <v>0</v>
      </c>
      <c r="L19" s="103">
        <v>0</v>
      </c>
      <c r="M19" s="103">
        <v>4</v>
      </c>
      <c r="N19" s="103">
        <v>4</v>
      </c>
      <c r="O19" s="103">
        <v>783089</v>
      </c>
      <c r="P19" s="103">
        <v>18600</v>
      </c>
      <c r="Q19" s="97">
        <f>IF(F19&gt;=1,IF(OR(G19&gt;=1,H19&gt;=1),"","表側(02)の(3)、(4)のいずれかに計上数を入力して下さい！"),"")&amp;IF(J19&gt;=1,IF(OR(K19&gt;=1,L19&gt;=1),"","表側(02)の(7)、(8)のいずれかに計上数を入力してください！"),"")&amp;IF(N19&gt;=1,IF(OR(O19&gt;=1,P19&gt;=1),"","表側(02)の(11)、(12)のいずれかに計上数を入力してください！"),"")&amp;IF(AND(E19&gt;=F19,I19&gt;=J19,M19&gt;=N19),"","表側(02)では申請件数（借受けは判定件数）≧決定件数となるので見直して下さい！")&amp;IF(AND(E19&gt;=I19),"","表側(02)では申請件数(1)≧判定件数(5)となるので見直して下さい！")</f>
      </c>
    </row>
    <row r="20" spans="2:17" ht="30.75" customHeight="1">
      <c r="B20" s="137" t="s">
        <v>61</v>
      </c>
      <c r="C20" s="80" t="s">
        <v>33</v>
      </c>
      <c r="D20" s="85" t="s">
        <v>4</v>
      </c>
      <c r="E20" s="103">
        <v>24</v>
      </c>
      <c r="F20" s="103">
        <v>24</v>
      </c>
      <c r="G20" s="103">
        <v>1248403</v>
      </c>
      <c r="H20" s="103">
        <v>51897</v>
      </c>
      <c r="I20" s="103">
        <v>0</v>
      </c>
      <c r="J20" s="103">
        <v>0</v>
      </c>
      <c r="K20" s="103">
        <v>0</v>
      </c>
      <c r="L20" s="103">
        <v>0</v>
      </c>
      <c r="M20" s="103">
        <v>13</v>
      </c>
      <c r="N20" s="103">
        <v>13</v>
      </c>
      <c r="O20" s="103">
        <v>133903</v>
      </c>
      <c r="P20" s="103">
        <v>7742</v>
      </c>
      <c r="Q20" s="97">
        <f>IF(F20&gt;=1,IF(OR(G20&gt;=1,H20&gt;=1),"","表側(03)の(3)、(4)のいずれかに計上数を入力して下さい！"),"")&amp;IF(J20&gt;=1,IF(OR(K20&gt;=1,L20&gt;=1),"","表側(03)の(7)、(8)のいずれかに計上数を入力してください！"),"")&amp;IF(N20&gt;=1,IF(OR(O20&gt;=1,P20&gt;=1),"","表側(03)の(11)、(12)のいずれかに計上数を入力してください！"),"")&amp;IF(AND(E20&gt;=F20,I20&gt;=J20,M20&gt;=N20),"","表側(03)では申請件数（借受けは判定件数）≧決定件数となるので見直して下さい！")&amp;IF(AND(E20&gt;=I20),"","表側(03)では申請件数(1)≧判定件数(5)となるので見直して下さい！")</f>
      </c>
    </row>
    <row r="21" spans="2:17" ht="30.75" customHeight="1">
      <c r="B21" s="138"/>
      <c r="C21" s="80" t="s">
        <v>34</v>
      </c>
      <c r="D21" s="85" t="s">
        <v>5</v>
      </c>
      <c r="E21" s="103">
        <v>9</v>
      </c>
      <c r="F21" s="103">
        <v>9</v>
      </c>
      <c r="G21" s="103">
        <v>1263105</v>
      </c>
      <c r="H21" s="103">
        <v>55800</v>
      </c>
      <c r="I21" s="103">
        <v>0</v>
      </c>
      <c r="J21" s="103">
        <v>0</v>
      </c>
      <c r="K21" s="103">
        <v>0</v>
      </c>
      <c r="L21" s="103">
        <v>0</v>
      </c>
      <c r="M21" s="103">
        <v>5</v>
      </c>
      <c r="N21" s="103">
        <v>5</v>
      </c>
      <c r="O21" s="103">
        <v>49777</v>
      </c>
      <c r="P21" s="103">
        <v>0</v>
      </c>
      <c r="Q21" s="97">
        <f>IF(F21&gt;=1,IF(OR(G21&gt;=1,H21&gt;=1),"","表側(04)の(3)、(4)のいずれかに計上数を入力して下さい！"),"")&amp;IF(J21&gt;=1,IF(OR(K21&gt;=1,L21&gt;=1),"","表側(04)の(7)、(8)のいずれかに計上数を入力してください！"),"")&amp;IF(N21&gt;=1,IF(OR(O21&gt;=1,P21&gt;=1),"","表側(04)の(11)、(12)のいずれかに計上数を入力してください！"),"")&amp;IF(AND(E21&gt;=F21,I21&gt;=J21,M21&gt;=N21),"","表側(04)では申請件数（借受けは判定件数）≧決定件数となるので見直して下さい！")&amp;IF(AND(E21&gt;=I21),"","表側(04)では申請件数(1)≧判定件数(5)となるので見直して下さい！")</f>
      </c>
    </row>
    <row r="22" spans="2:17" ht="30.75" customHeight="1">
      <c r="B22" s="138"/>
      <c r="C22" s="80" t="s">
        <v>35</v>
      </c>
      <c r="D22" s="85" t="s">
        <v>6</v>
      </c>
      <c r="E22" s="103">
        <v>0</v>
      </c>
      <c r="F22" s="103">
        <v>0</v>
      </c>
      <c r="G22" s="103">
        <v>0</v>
      </c>
      <c r="H22" s="103">
        <v>0</v>
      </c>
      <c r="I22" s="103">
        <v>0</v>
      </c>
      <c r="J22" s="103">
        <v>0</v>
      </c>
      <c r="K22" s="103">
        <v>0</v>
      </c>
      <c r="L22" s="103">
        <v>0</v>
      </c>
      <c r="M22" s="103">
        <v>0</v>
      </c>
      <c r="N22" s="103">
        <v>0</v>
      </c>
      <c r="O22" s="103">
        <v>0</v>
      </c>
      <c r="P22" s="103">
        <v>0</v>
      </c>
      <c r="Q22" s="97">
        <f>IF(F22&gt;=1,IF(OR(G22&gt;=1,H22&gt;=1),"","表側(05)の(3)、(4)のいずれかに計上数を入力して下さい！"),"")&amp;IF(J22&gt;=1,IF(OR(K22&gt;=1,L22&gt;=1),"","表側(05)の(7)、(8)のいずれかに計上数を入力してください！"),"")&amp;IF(N22&gt;=1,IF(OR(O22&gt;=1,P22&gt;=1),"","表側(05)の(11)、(12)のいずれかに計上数を入力してください！"),"")&amp;IF(AND(E22&gt;=F22,I22&gt;=J22,M22&gt;=N22),"","表側(05)では申請件数（借受けは判定件数）≧決定件数となるので見直して下さい！")&amp;IF(AND(E22&gt;=I22),"","表側(05)では申請件数(1)≧判定件数(5)となるので見直して下さい！")</f>
      </c>
    </row>
    <row r="23" spans="2:17" ht="30.75" customHeight="1">
      <c r="B23" s="139"/>
      <c r="C23" s="80" t="s">
        <v>36</v>
      </c>
      <c r="D23" s="85" t="s">
        <v>7</v>
      </c>
      <c r="E23" s="103">
        <v>0</v>
      </c>
      <c r="F23" s="103">
        <v>0</v>
      </c>
      <c r="G23" s="103">
        <v>0</v>
      </c>
      <c r="H23" s="103">
        <v>0</v>
      </c>
      <c r="I23" s="103">
        <v>0</v>
      </c>
      <c r="J23" s="103">
        <v>0</v>
      </c>
      <c r="K23" s="103">
        <v>0</v>
      </c>
      <c r="L23" s="103">
        <v>0</v>
      </c>
      <c r="M23" s="103">
        <v>0</v>
      </c>
      <c r="N23" s="103">
        <v>0</v>
      </c>
      <c r="O23" s="103">
        <v>0</v>
      </c>
      <c r="P23" s="103">
        <v>0</v>
      </c>
      <c r="Q23" s="97">
        <f>IF(F23&gt;=1,IF(OR(G23&gt;=1,H23&gt;=1),"","表側(06)の(3)、(4)のいずれかに計上数を入力して下さい！"),"")&amp;IF(J23&gt;=1,IF(OR(K23&gt;=1,L23&gt;=1),"","表側(06)の(7)、(8)のいずれかに計上数を入力してください！"),"")&amp;IF(N23&gt;=1,IF(OR(O23&gt;=1,P23&gt;=1),"","表側(06)の(11)、(12)のいずれかに計上数を入力してください！"),"")&amp;IF(AND(E23&gt;=F23,I23&gt;=J23,M23&gt;=N23),"","表側(06)では申請件数（借受けは判定件数）≧決定件数となるので見直して下さい！")&amp;IF(AND(E23&gt;=I23),"","表側(06)では申請件数(1)≧判定件数(5)となるので見直して下さい！")</f>
      </c>
    </row>
    <row r="24" spans="2:17" ht="30.75" customHeight="1">
      <c r="B24" s="145" t="s">
        <v>78</v>
      </c>
      <c r="C24" s="83" t="s">
        <v>98</v>
      </c>
      <c r="D24" s="85" t="s">
        <v>8</v>
      </c>
      <c r="E24" s="103">
        <v>9</v>
      </c>
      <c r="F24" s="103">
        <v>9</v>
      </c>
      <c r="G24" s="103">
        <v>4202493</v>
      </c>
      <c r="H24" s="103">
        <v>74400</v>
      </c>
      <c r="I24" s="103">
        <v>0</v>
      </c>
      <c r="J24" s="103">
        <v>0</v>
      </c>
      <c r="K24" s="103">
        <v>0</v>
      </c>
      <c r="L24" s="103">
        <v>0</v>
      </c>
      <c r="M24" s="103">
        <v>0</v>
      </c>
      <c r="N24" s="103">
        <v>0</v>
      </c>
      <c r="O24" s="103">
        <v>0</v>
      </c>
      <c r="P24" s="103">
        <v>0</v>
      </c>
      <c r="Q24" s="97">
        <f>IF(F24&gt;=1,IF(OR(G24&gt;=1,H24&gt;=1),"","表側(07)の(3)、(4)のいずれかに計上数を入力して下さい！"),"")&amp;IF(J24&gt;=1,IF(OR(K24&gt;=1,L24&gt;=1),"","表側(07)の(7)、(8)のいずれかに計上数を入力してください！"),"")&amp;IF(N24&gt;=1,IF(OR(O24&gt;=1,P24&gt;=1),"","表側(07)の(11)、(12)のいずれかに計上数を入力してください！"),"")&amp;IF(AND(E24&gt;=F24,I24&gt;=J24,M24&gt;=N24),"","表側(07)では申請件数（借受けは判定件数）≧決定件数となるので見直して下さい！")&amp;IF(AND(E24&gt;=I24),"","表側(07)では申請件数(1)≧判定件数(5)となるので見直して下さい！")</f>
      </c>
    </row>
    <row r="25" spans="2:17" ht="36.75" customHeight="1">
      <c r="B25" s="138"/>
      <c r="C25" s="88" t="s">
        <v>99</v>
      </c>
      <c r="D25" s="85" t="s">
        <v>9</v>
      </c>
      <c r="E25" s="103">
        <v>1</v>
      </c>
      <c r="F25" s="103">
        <v>1</v>
      </c>
      <c r="G25" s="103">
        <v>1136576</v>
      </c>
      <c r="H25" s="103">
        <v>0</v>
      </c>
      <c r="I25" s="103">
        <v>0</v>
      </c>
      <c r="J25" s="103">
        <v>0</v>
      </c>
      <c r="K25" s="103">
        <v>0</v>
      </c>
      <c r="L25" s="103">
        <v>0</v>
      </c>
      <c r="M25" s="103">
        <v>2</v>
      </c>
      <c r="N25" s="103">
        <v>2</v>
      </c>
      <c r="O25" s="103">
        <v>104212</v>
      </c>
      <c r="P25" s="103">
        <v>0</v>
      </c>
      <c r="Q25" s="97">
        <f>IF(F25&gt;=1,IF(OR(G25&gt;=1,H25&gt;=1),"","表側(08)の(3)、(4)のいずれかに計上数を入力して下さい！"),"")&amp;IF(J25&gt;=1,IF(OR(K25&gt;=1,L25&gt;=1),"","表側(08)の(7)、(8)のいずれかに計上数を入力してください！"),"")&amp;IF(N25&gt;=1,IF(OR(O25&gt;=1,P25&gt;=1),"","表側(08)の(11)、(12)のいずれかに計上数を入力してください！"),"")&amp;IF(AND(E25&gt;=F25,I25&gt;=J25,M25&gt;=N25),"","表側(08)では申請件数（借受けは判定件数）≧決定件数となるので見直して下さい！")&amp;IF(AND(E25&gt;=I25),"","表側(08)では申請件数(1)≧判定件数(5)となるので見直して下さい！")</f>
      </c>
    </row>
    <row r="26" spans="2:17" ht="40.5" customHeight="1">
      <c r="B26" s="139"/>
      <c r="C26" s="83" t="s">
        <v>116</v>
      </c>
      <c r="D26" s="85" t="s">
        <v>10</v>
      </c>
      <c r="E26" s="103">
        <v>7</v>
      </c>
      <c r="F26" s="103">
        <v>7</v>
      </c>
      <c r="G26" s="103">
        <v>2581837</v>
      </c>
      <c r="H26" s="103">
        <v>74400</v>
      </c>
      <c r="I26" s="103">
        <v>0</v>
      </c>
      <c r="J26" s="103">
        <v>0</v>
      </c>
      <c r="K26" s="103">
        <v>0</v>
      </c>
      <c r="L26" s="103">
        <v>0</v>
      </c>
      <c r="M26" s="103">
        <v>4</v>
      </c>
      <c r="N26" s="103">
        <v>4</v>
      </c>
      <c r="O26" s="103">
        <v>283536</v>
      </c>
      <c r="P26" s="103">
        <v>20969</v>
      </c>
      <c r="Q26" s="97">
        <f>IF(F26&gt;=1,IF(OR(G26&gt;=1,H26&gt;=1),"","表側(09)の(3)、(4)のいずれかに計上数を入力して下さい！"),"")&amp;IF(J26&gt;=1,IF(OR(K26&gt;=1,L26&gt;=1),"","表側(09)の(7)、(8)のいずれかに計上数を入力してください！"),"")&amp;IF(N26&gt;=1,IF(OR(O26&gt;=1,P26&gt;=1),"","表側(09)の(11)、(12)のいずれかに計上数を入力してください！"),"")&amp;IF(AND(E26&gt;=F26,I26&gt;=J26,M26&gt;=N26),"","表側(09)では申請件数（借受けは判定件数）≧決定件数となるので見直して下さい！")&amp;IF(AND(E26&gt;=I26),"","表側(09)では申請件数(1)≧判定件数(5)となるので見直して下さい！")</f>
      </c>
    </row>
    <row r="27" spans="2:17" ht="30.75" customHeight="1">
      <c r="B27" s="141" t="s">
        <v>64</v>
      </c>
      <c r="C27" s="142"/>
      <c r="D27" s="85" t="s">
        <v>11</v>
      </c>
      <c r="E27" s="103">
        <v>10</v>
      </c>
      <c r="F27" s="103">
        <v>10</v>
      </c>
      <c r="G27" s="103">
        <v>58292</v>
      </c>
      <c r="H27" s="103">
        <v>1606</v>
      </c>
      <c r="I27" s="111"/>
      <c r="J27" s="111"/>
      <c r="K27" s="111"/>
      <c r="L27" s="111"/>
      <c r="M27" s="103">
        <v>1</v>
      </c>
      <c r="N27" s="103">
        <v>1</v>
      </c>
      <c r="O27" s="103">
        <v>3100</v>
      </c>
      <c r="P27" s="103">
        <v>0</v>
      </c>
      <c r="Q27" s="97">
        <f>IF(F27&gt;=1,IF(OR(G27&gt;=1,H27&gt;=1),"","表側(10)の(3)、(4)のいずれかに計上数を入力して下さい！"),"")&amp;IF(N27&gt;=1,IF(OR(O27&gt;=1,P27&gt;=1),"","表側(10)の(7)、(8)のいずれかに計上数を入力してください！"),"")&amp;IF(AND(E27&gt;=F27,M27&gt;=N27),"","表側(10)では申請件数≧決定件数となるので見直して下さい！")</f>
      </c>
    </row>
    <row r="28" spans="2:17" ht="30.75" customHeight="1">
      <c r="B28" s="137" t="s">
        <v>95</v>
      </c>
      <c r="C28" s="82" t="s">
        <v>117</v>
      </c>
      <c r="D28" s="85" t="s">
        <v>82</v>
      </c>
      <c r="E28" s="103">
        <v>0</v>
      </c>
      <c r="F28" s="103">
        <v>0</v>
      </c>
      <c r="G28" s="103">
        <v>0</v>
      </c>
      <c r="H28" s="103">
        <v>0</v>
      </c>
      <c r="I28" s="111"/>
      <c r="J28" s="111"/>
      <c r="K28" s="111"/>
      <c r="L28" s="111"/>
      <c r="M28" s="103">
        <v>0</v>
      </c>
      <c r="N28" s="103">
        <v>0</v>
      </c>
      <c r="O28" s="103">
        <v>0</v>
      </c>
      <c r="P28" s="103">
        <v>0</v>
      </c>
      <c r="Q28" s="97">
        <f>IF(F28&gt;=1,IF(OR(G28&gt;=1,H28&gt;=1),"","表側(11)の(3)、(4)のいずれかに計上数を入力して下さい！"),"")&amp;IF(N28&gt;=1,IF(OR(O28&gt;=1,P28&gt;=1),"","表側(11)の(7)、(8)のいずれかに計上数を入力してください！"),"")&amp;IF(AND(E28&gt;=F28,M28&gt;=N28),"","表側(11)では申請件数≧決定件数となるので見直して下さい！")</f>
      </c>
    </row>
    <row r="29" spans="2:17" ht="30.75" customHeight="1">
      <c r="B29" s="138"/>
      <c r="C29" s="82" t="s">
        <v>118</v>
      </c>
      <c r="D29" s="85" t="s">
        <v>112</v>
      </c>
      <c r="E29" s="103">
        <v>3</v>
      </c>
      <c r="F29" s="103">
        <v>3</v>
      </c>
      <c r="G29" s="103">
        <v>250734</v>
      </c>
      <c r="H29" s="103">
        <v>8646</v>
      </c>
      <c r="I29" s="111"/>
      <c r="J29" s="111"/>
      <c r="K29" s="111"/>
      <c r="L29" s="111"/>
      <c r="M29" s="103">
        <v>0</v>
      </c>
      <c r="N29" s="103">
        <v>0</v>
      </c>
      <c r="O29" s="103">
        <v>0</v>
      </c>
      <c r="P29" s="103">
        <v>0</v>
      </c>
      <c r="Q29" s="97">
        <f>IF(F29&gt;=1,IF(OR(G29&gt;=1,H29&gt;=1),"","表側(12)の(3)、(4)のいずれかに計上数を入力して下さい！"),"")&amp;IF(N29&gt;=1,IF(OR(O29&gt;=1,P29&gt;=1),"","表側(12)の(7)、(8)のいずれかに計上数を入力してください！"),"")&amp;IF(AND(E29&gt;=F29,M29&gt;=N29),"","表側(12)では申請件数≧決定件数となるので見直して下さい！")</f>
      </c>
    </row>
    <row r="30" spans="2:17" ht="30.75" customHeight="1">
      <c r="B30" s="137" t="s">
        <v>65</v>
      </c>
      <c r="C30" s="82" t="s">
        <v>119</v>
      </c>
      <c r="D30" s="85" t="s">
        <v>128</v>
      </c>
      <c r="E30" s="103">
        <v>4</v>
      </c>
      <c r="F30" s="103">
        <v>4</v>
      </c>
      <c r="G30" s="103">
        <v>109735</v>
      </c>
      <c r="H30" s="103">
        <v>5906</v>
      </c>
      <c r="I30" s="111"/>
      <c r="J30" s="111"/>
      <c r="K30" s="111"/>
      <c r="L30" s="111"/>
      <c r="M30" s="103">
        <v>0</v>
      </c>
      <c r="N30" s="103">
        <v>0</v>
      </c>
      <c r="O30" s="103">
        <v>0</v>
      </c>
      <c r="P30" s="103">
        <v>0</v>
      </c>
      <c r="Q30" s="97">
        <f>IF(F30&gt;=1,IF(OR(G30&gt;=1,H30&gt;=1),"","表側(13)の(3)、(4)のいずれかに計上数を入力して下さい！"),"")&amp;IF(N30&gt;=1,IF(OR(O30&gt;=1,P30&gt;=1),"","表側(13)の(7)、(8)のいずれかに計上数を入力してください！"),"")&amp;IF(AND(E30&gt;=F30,M30&gt;=N30),"","表側(13)では申請件数≧決定件数となるので見直して下さい！")</f>
      </c>
    </row>
    <row r="31" spans="2:17" ht="30.75" customHeight="1">
      <c r="B31" s="138"/>
      <c r="C31" s="82" t="s">
        <v>120</v>
      </c>
      <c r="D31" s="85" t="s">
        <v>129</v>
      </c>
      <c r="E31" s="103">
        <v>4</v>
      </c>
      <c r="F31" s="103">
        <v>4</v>
      </c>
      <c r="G31" s="103">
        <v>84656</v>
      </c>
      <c r="H31" s="103">
        <v>3585</v>
      </c>
      <c r="I31" s="111"/>
      <c r="J31" s="111"/>
      <c r="K31" s="111"/>
      <c r="L31" s="111"/>
      <c r="M31" s="103">
        <v>0</v>
      </c>
      <c r="N31" s="103">
        <v>0</v>
      </c>
      <c r="O31" s="103">
        <v>0</v>
      </c>
      <c r="P31" s="103">
        <v>0</v>
      </c>
      <c r="Q31" s="97">
        <f>IF(F31&gt;=1,IF(OR(G31&gt;=1,H31&gt;=1),"","表側(14)の(3)、(4)のいずれかに計上数を入力して下さい！"),"")&amp;IF(N31&gt;=1,IF(OR(O31&gt;=1,P31&gt;=1),"","表側(14)の(7)、(8)のいずれかに計上数を入力してください！"),"")&amp;IF(AND(E31&gt;=F31,M31&gt;=N31),"","表側(14)では申請件数≧決定件数となるので見直して下さい！")</f>
      </c>
    </row>
    <row r="32" spans="2:17" ht="30.75" customHeight="1">
      <c r="B32" s="138"/>
      <c r="C32" s="82" t="s">
        <v>121</v>
      </c>
      <c r="D32" s="85" t="s">
        <v>130</v>
      </c>
      <c r="E32" s="103">
        <v>0</v>
      </c>
      <c r="F32" s="103">
        <v>0</v>
      </c>
      <c r="G32" s="103">
        <v>0</v>
      </c>
      <c r="H32" s="103">
        <v>0</v>
      </c>
      <c r="I32" s="111"/>
      <c r="J32" s="111"/>
      <c r="K32" s="111"/>
      <c r="L32" s="111"/>
      <c r="M32" s="103">
        <v>0</v>
      </c>
      <c r="N32" s="103">
        <v>0</v>
      </c>
      <c r="O32" s="103">
        <v>0</v>
      </c>
      <c r="P32" s="103">
        <v>0</v>
      </c>
      <c r="Q32" s="97">
        <f>IF(F32&gt;=1,IF(OR(G32&gt;=1,H32&gt;=1),"","表側(15)の(3)、(4)のいずれかに計上数を入力して下さい！"),"")&amp;IF(N32&gt;=1,IF(OR(O32&gt;=1,P32&gt;=1),"","表側(15)の(7)、(8)のいずれかに計上数を入力してください！"),"")&amp;IF(AND(E32&gt;=F32,M32&gt;=N32),"","表側(15)では申請件数≧決定件数となるので見直して下さい！")</f>
      </c>
    </row>
    <row r="33" spans="2:17" ht="30.75" customHeight="1">
      <c r="B33" s="139"/>
      <c r="C33" s="82" t="s">
        <v>122</v>
      </c>
      <c r="D33" s="85" t="s">
        <v>131</v>
      </c>
      <c r="E33" s="103">
        <v>0</v>
      </c>
      <c r="F33" s="103">
        <v>0</v>
      </c>
      <c r="G33" s="103">
        <v>0</v>
      </c>
      <c r="H33" s="103">
        <v>0</v>
      </c>
      <c r="I33" s="111"/>
      <c r="J33" s="111"/>
      <c r="K33" s="111"/>
      <c r="L33" s="111"/>
      <c r="M33" s="103">
        <v>0</v>
      </c>
      <c r="N33" s="103">
        <v>0</v>
      </c>
      <c r="O33" s="103">
        <v>0</v>
      </c>
      <c r="P33" s="103">
        <v>0</v>
      </c>
      <c r="Q33" s="97">
        <f>IF(F33&gt;=1,IF(OR(G33&gt;=1,H33&gt;=1),"","表側(16)の(3)、(4)のいずれかに計上数を入力して下さい！"),"")&amp;IF(N33&gt;=1,IF(OR(O33&gt;=1,P33&gt;=1),"","表側(16)の(7)、(8)のいずれかに計上数を入力してください！"),"")&amp;IF(AND(E33&gt;=F33,M33&gt;=N33),"","表側(16)では申請件数≧決定件数となるので見直して下さい！")</f>
      </c>
    </row>
    <row r="34" spans="2:17" ht="38.25" customHeight="1">
      <c r="B34" s="137" t="s">
        <v>66</v>
      </c>
      <c r="C34" s="82" t="s">
        <v>123</v>
      </c>
      <c r="D34" s="85" t="s">
        <v>132</v>
      </c>
      <c r="E34" s="103">
        <v>1</v>
      </c>
      <c r="F34" s="103">
        <v>1</v>
      </c>
      <c r="G34" s="103">
        <v>35841</v>
      </c>
      <c r="H34" s="103">
        <v>0</v>
      </c>
      <c r="I34" s="111"/>
      <c r="J34" s="111"/>
      <c r="K34" s="111"/>
      <c r="L34" s="111"/>
      <c r="M34" s="103">
        <v>1</v>
      </c>
      <c r="N34" s="103">
        <v>1</v>
      </c>
      <c r="O34" s="103">
        <v>11171</v>
      </c>
      <c r="P34" s="103">
        <v>0</v>
      </c>
      <c r="Q34" s="97">
        <f>IF(F34&gt;=1,IF(OR(G34&gt;=1,H34&gt;=1),"","表側(17)の(3)、(4)のいずれかに計上数を入力して下さい！"),"")&amp;IF(N34&gt;=1,IF(OR(O34&gt;=1,P34&gt;=1),"","表側(17)の(7)、(8)のいずれかに計上数を入力してください！"),"")&amp;IF(AND(E34&gt;=F34,M34&gt;=N34),"","表側(17)では申請件数≧決定件数となるので見直して下さい！")</f>
      </c>
    </row>
    <row r="35" spans="2:17" ht="41.25" customHeight="1">
      <c r="B35" s="138"/>
      <c r="C35" s="82" t="s">
        <v>124</v>
      </c>
      <c r="D35" s="85" t="s">
        <v>133</v>
      </c>
      <c r="E35" s="103">
        <v>11</v>
      </c>
      <c r="F35" s="103">
        <v>11</v>
      </c>
      <c r="G35" s="103">
        <v>573249</v>
      </c>
      <c r="H35" s="103">
        <v>9612</v>
      </c>
      <c r="I35" s="111"/>
      <c r="J35" s="111"/>
      <c r="K35" s="111"/>
      <c r="L35" s="111"/>
      <c r="M35" s="103">
        <v>6</v>
      </c>
      <c r="N35" s="103">
        <v>6</v>
      </c>
      <c r="O35" s="103">
        <v>107090</v>
      </c>
      <c r="P35" s="103">
        <v>10714</v>
      </c>
      <c r="Q35" s="97">
        <f>IF(F35&gt;=1,IF(OR(G35&gt;=1,H35&gt;=1),"","表側(18)の(3)、(4)のいずれかに計上数を入力して下さい！"),"")&amp;IF(N35&gt;=1,IF(OR(O35&gt;=1,P35&gt;=1),"","表側(18)の(7)、(8)のいずれかに計上数を入力してください！"),"")&amp;IF(AND(E35&gt;=F35,M35&gt;=N35),"","表側(18)では申請件数≧決定件数となるので見直して下さい！")</f>
      </c>
    </row>
    <row r="36" spans="2:17" ht="40.5" customHeight="1">
      <c r="B36" s="138"/>
      <c r="C36" s="82" t="s">
        <v>125</v>
      </c>
      <c r="D36" s="85" t="s">
        <v>134</v>
      </c>
      <c r="E36" s="103">
        <v>1</v>
      </c>
      <c r="F36" s="103">
        <v>1</v>
      </c>
      <c r="G36" s="103">
        <v>58478</v>
      </c>
      <c r="H36" s="103">
        <v>0</v>
      </c>
      <c r="I36" s="111"/>
      <c r="J36" s="111"/>
      <c r="K36" s="111"/>
      <c r="L36" s="111"/>
      <c r="M36" s="103">
        <v>0</v>
      </c>
      <c r="N36" s="103">
        <v>0</v>
      </c>
      <c r="O36" s="103">
        <v>0</v>
      </c>
      <c r="P36" s="103">
        <v>0</v>
      </c>
      <c r="Q36" s="97">
        <f>IF(F36&gt;=1,IF(OR(G36&gt;=1,H36&gt;=1),"","表側(19)の(3)、(4)のいずれかに計上数を入力して下さい！"),"")&amp;IF(N36&gt;=1,IF(OR(O36&gt;=1,P36&gt;=1),"","表側(19)の(7)、(8)のいずれかに計上数を入力してください！"),"")&amp;IF(AND(E36&gt;=F36,M36&gt;=N36),"","表側(19)では申請件数≧決定件数となるので見直して下さい！")</f>
      </c>
    </row>
    <row r="37" spans="2:17" ht="41.25" customHeight="1">
      <c r="B37" s="138"/>
      <c r="C37" s="82" t="s">
        <v>126</v>
      </c>
      <c r="D37" s="85" t="s">
        <v>135</v>
      </c>
      <c r="E37" s="103">
        <v>13</v>
      </c>
      <c r="F37" s="103">
        <v>13</v>
      </c>
      <c r="G37" s="103">
        <v>1000165</v>
      </c>
      <c r="H37" s="103">
        <v>64773</v>
      </c>
      <c r="I37" s="111"/>
      <c r="J37" s="111"/>
      <c r="K37" s="111"/>
      <c r="L37" s="111"/>
      <c r="M37" s="103">
        <v>16</v>
      </c>
      <c r="N37" s="103">
        <v>16</v>
      </c>
      <c r="O37" s="103">
        <v>397895</v>
      </c>
      <c r="P37" s="103">
        <v>31546</v>
      </c>
      <c r="Q37" s="97">
        <f>IF(F37&gt;=1,IF(OR(G37&gt;=1,H37&gt;=1),"","表側(20)の(3)、(4)のいずれかに計上数を入力して下さい！"),"")&amp;IF(N37&gt;=1,IF(OR(O37&gt;=1,P37&gt;=1),"","表側(20)の(7)、(8)のいずれかに計上数を入力してください！"),"")&amp;IF(AND(E37&gt;=F37,M37&gt;=N37),"","表側(20)では申請件数≧決定件数となるので見直して下さい！")</f>
      </c>
    </row>
    <row r="38" spans="2:17" ht="30.75" customHeight="1">
      <c r="B38" s="138"/>
      <c r="C38" s="82" t="s">
        <v>79</v>
      </c>
      <c r="D38" s="85" t="s">
        <v>136</v>
      </c>
      <c r="E38" s="103">
        <v>0</v>
      </c>
      <c r="F38" s="103">
        <v>0</v>
      </c>
      <c r="G38" s="103">
        <v>0</v>
      </c>
      <c r="H38" s="103">
        <v>0</v>
      </c>
      <c r="I38" s="111"/>
      <c r="J38" s="111"/>
      <c r="K38" s="111"/>
      <c r="L38" s="111"/>
      <c r="M38" s="103">
        <v>0</v>
      </c>
      <c r="N38" s="103">
        <v>0</v>
      </c>
      <c r="O38" s="103">
        <v>0</v>
      </c>
      <c r="P38" s="103">
        <v>0</v>
      </c>
      <c r="Q38" s="97">
        <f>IF(F38&gt;=1,IF(OR(G38&gt;=1,H38&gt;=1),"","表側(21)の(3)、(4)のいずれかに計上数を入力して下さい！"),"")&amp;IF(N38&gt;=1,IF(OR(O38&gt;=1,P38&gt;=1),"","表側(21)の(7)、(8)のいずれかに計上数を入力してください！"),"")&amp;IF(AND(E38&gt;=F38,M38&gt;=N38),"","表側(21)では申請件数≧決定件数となるので見直して下さい！")</f>
      </c>
    </row>
    <row r="39" spans="2:17" ht="30.75" customHeight="1">
      <c r="B39" s="138"/>
      <c r="C39" s="96" t="s">
        <v>80</v>
      </c>
      <c r="D39" s="85" t="s">
        <v>137</v>
      </c>
      <c r="E39" s="103">
        <v>0</v>
      </c>
      <c r="F39" s="103">
        <v>0</v>
      </c>
      <c r="G39" s="103">
        <v>0</v>
      </c>
      <c r="H39" s="103">
        <v>0</v>
      </c>
      <c r="I39" s="111"/>
      <c r="J39" s="111"/>
      <c r="K39" s="111"/>
      <c r="L39" s="111"/>
      <c r="M39" s="103">
        <v>1</v>
      </c>
      <c r="N39" s="103">
        <v>1</v>
      </c>
      <c r="O39" s="103">
        <v>4716</v>
      </c>
      <c r="P39" s="103">
        <v>524</v>
      </c>
      <c r="Q39" s="97">
        <f>IF(F39&gt;=1,IF(OR(G39&gt;=1,H39&gt;=1),"","表側(22)の(3)、(4)のいずれかに計上数を入力して下さい！"),"")&amp;IF(N39&gt;=1,IF(OR(O39&gt;=1,P39&gt;=1),"","表側(22)の(7)、(8)のいずれかに計上数を入力してください！"),"")&amp;IF(AND(E39&gt;=F39,M39&gt;=N39),"","表側(22)では申請件数≧決定件数となるので見直して下さい！")</f>
      </c>
    </row>
    <row r="40" spans="2:17" ht="30.75" customHeight="1">
      <c r="B40" s="138"/>
      <c r="C40" s="96" t="s">
        <v>83</v>
      </c>
      <c r="D40" s="85" t="s">
        <v>138</v>
      </c>
      <c r="E40" s="103">
        <v>0</v>
      </c>
      <c r="F40" s="103">
        <v>0</v>
      </c>
      <c r="G40" s="103">
        <v>0</v>
      </c>
      <c r="H40" s="103">
        <v>0</v>
      </c>
      <c r="I40" s="111"/>
      <c r="J40" s="111"/>
      <c r="K40" s="111"/>
      <c r="L40" s="111"/>
      <c r="M40" s="103">
        <v>0</v>
      </c>
      <c r="N40" s="103">
        <v>0</v>
      </c>
      <c r="O40" s="103">
        <v>0</v>
      </c>
      <c r="P40" s="103">
        <v>0</v>
      </c>
      <c r="Q40" s="97">
        <f>IF(F40&gt;=1,IF(OR(G40&gt;=1,H40&gt;=1),"","表側(23)の(3)、(4)のいずれかに計上数を入力して下さい！"),"")&amp;IF(N40&gt;=1,IF(OR(O40&gt;=1,P40&gt;=1),"","表側(23)の(7)、(8)のいずれかに計上数を入力してください！"),"")&amp;IF(AND(E40&gt;=F40,M40&gt;=N40),"","表側(23)では申請件数≧決定件数となるので見直して下さい！")</f>
      </c>
    </row>
    <row r="41" spans="2:17" ht="30.75" customHeight="1">
      <c r="B41" s="139"/>
      <c r="C41" s="82" t="s">
        <v>127</v>
      </c>
      <c r="D41" s="85" t="s">
        <v>139</v>
      </c>
      <c r="E41" s="103">
        <v>0</v>
      </c>
      <c r="F41" s="103">
        <v>0</v>
      </c>
      <c r="G41" s="103">
        <v>0</v>
      </c>
      <c r="H41" s="103">
        <v>0</v>
      </c>
      <c r="I41" s="111"/>
      <c r="J41" s="111"/>
      <c r="K41" s="111"/>
      <c r="L41" s="111"/>
      <c r="M41" s="103">
        <v>0</v>
      </c>
      <c r="N41" s="103">
        <v>0</v>
      </c>
      <c r="O41" s="103">
        <v>0</v>
      </c>
      <c r="P41" s="103">
        <v>0</v>
      </c>
      <c r="Q41" s="97">
        <f>IF(F41&gt;=1,IF(OR(G41&gt;=1,H41&gt;=1),"","表側(24)の(3)、(4)のいずれかに計上数を入力して下さい！"),"")&amp;IF(N41&gt;=1,IF(OR(O41&gt;=1,P41&gt;=1),"","表側(24)の(7)、(8)のいずれかに計上数を入力してください！"),"")&amp;IF(AND(E41&gt;=F41,M41&gt;=N41),"","表側(24)では申請件数≧決定件数となるので見直して下さい！")</f>
      </c>
    </row>
    <row r="42" spans="2:17" ht="30.75" customHeight="1">
      <c r="B42" s="137" t="s">
        <v>100</v>
      </c>
      <c r="C42" s="82" t="s">
        <v>37</v>
      </c>
      <c r="D42" s="85" t="s">
        <v>141</v>
      </c>
      <c r="E42" s="103">
        <v>13</v>
      </c>
      <c r="F42" s="103">
        <v>13</v>
      </c>
      <c r="G42" s="103">
        <v>2495554</v>
      </c>
      <c r="H42" s="103">
        <v>130629</v>
      </c>
      <c r="I42" s="111"/>
      <c r="J42" s="111"/>
      <c r="K42" s="111"/>
      <c r="L42" s="111"/>
      <c r="M42" s="103">
        <v>25</v>
      </c>
      <c r="N42" s="103">
        <v>25</v>
      </c>
      <c r="O42" s="103">
        <v>1015567</v>
      </c>
      <c r="P42" s="103">
        <v>66945</v>
      </c>
      <c r="Q42" s="97">
        <f>IF(F42&gt;=1,IF(OR(G42&gt;=1,H42&gt;=1),"","表側(25)の(3)、(4)のいずれかに計上数を入力して下さい！"),"")&amp;IF(N42&gt;=1,IF(OR(O42&gt;=1,P42&gt;=1),"","表側(25)の(7)、(8)のいずれかに計上数を入力してください！"),"")&amp;IF(AND(E42&gt;=F42,M42&gt;=N42),"","表側(25)では申請件数≧決定件数となるので見直して下さい！")</f>
      </c>
    </row>
    <row r="43" spans="2:17" ht="30.75" customHeight="1">
      <c r="B43" s="140"/>
      <c r="C43" s="82" t="s">
        <v>46</v>
      </c>
      <c r="D43" s="85" t="s">
        <v>142</v>
      </c>
      <c r="E43" s="103">
        <v>0</v>
      </c>
      <c r="F43" s="103">
        <v>0</v>
      </c>
      <c r="G43" s="103">
        <v>0</v>
      </c>
      <c r="H43" s="103">
        <v>0</v>
      </c>
      <c r="I43" s="111"/>
      <c r="J43" s="111"/>
      <c r="K43" s="111"/>
      <c r="L43" s="111"/>
      <c r="M43" s="103">
        <v>0</v>
      </c>
      <c r="N43" s="103">
        <v>0</v>
      </c>
      <c r="O43" s="103">
        <v>0</v>
      </c>
      <c r="P43" s="103">
        <v>0</v>
      </c>
      <c r="Q43" s="97">
        <f>IF(F43&gt;=1,IF(OR(G43&gt;=1,H43&gt;=1),"","表側(26)の(3)、(4)のいずれかに計上数を入力して下さい！"),"")&amp;IF(N43&gt;=1,IF(OR(O43&gt;=1,P43&gt;=1),"","表側(26)の(7)、(8)のいずれかに計上数を入力してください！"),"")&amp;IF(AND(E43&gt;=F43,M43&gt;=N43),"","表側(26)では申請件数≧決定件数となるので見直して下さい！")</f>
      </c>
    </row>
    <row r="44" spans="2:17" ht="30.75" customHeight="1">
      <c r="B44" s="140"/>
      <c r="C44" s="82" t="s">
        <v>84</v>
      </c>
      <c r="D44" s="85" t="s">
        <v>143</v>
      </c>
      <c r="E44" s="103">
        <v>0</v>
      </c>
      <c r="F44" s="103">
        <v>0</v>
      </c>
      <c r="G44" s="103">
        <v>0</v>
      </c>
      <c r="H44" s="103">
        <v>0</v>
      </c>
      <c r="I44" s="111"/>
      <c r="J44" s="111"/>
      <c r="K44" s="111"/>
      <c r="L44" s="111"/>
      <c r="M44" s="103">
        <v>1</v>
      </c>
      <c r="N44" s="103">
        <v>1</v>
      </c>
      <c r="O44" s="103">
        <v>23684</v>
      </c>
      <c r="P44" s="103">
        <v>0</v>
      </c>
      <c r="Q44" s="97">
        <f>IF(F44&gt;=1,IF(OR(G44&gt;=1,H44&gt;=1),"","表側(27)の(3)、(4)のいずれかに計上数を入力して下さい！"),"")&amp;IF(N44&gt;=1,IF(OR(O44&gt;=1,P44&gt;=1),"","表側(27)の(7)、(8)のいずれかに計上数を入力してください！"),"")&amp;IF(AND(E44&gt;=F44,M44&gt;=N44),"","表側(27)では申請件数≧決定件数となるので見直して下さい！")</f>
      </c>
    </row>
    <row r="45" spans="2:17" ht="34.5">
      <c r="B45" s="140"/>
      <c r="C45" s="82" t="s">
        <v>85</v>
      </c>
      <c r="D45" s="85" t="s">
        <v>144</v>
      </c>
      <c r="E45" s="103">
        <v>0</v>
      </c>
      <c r="F45" s="103">
        <v>0</v>
      </c>
      <c r="G45" s="103">
        <v>0</v>
      </c>
      <c r="H45" s="103">
        <v>0</v>
      </c>
      <c r="I45" s="111"/>
      <c r="J45" s="111"/>
      <c r="K45" s="111"/>
      <c r="L45" s="111"/>
      <c r="M45" s="103">
        <v>0</v>
      </c>
      <c r="N45" s="103">
        <v>0</v>
      </c>
      <c r="O45" s="103">
        <v>0</v>
      </c>
      <c r="P45" s="103">
        <v>0</v>
      </c>
      <c r="Q45" s="97">
        <f>IF(F45&gt;=1,IF(OR(G45&gt;=1,H45&gt;=1),"","表側(28)の(3)、(4)のいずれかに計上数を入力して下さい！"),"")&amp;IF(N45&gt;=1,IF(OR(O45&gt;=1,P45&gt;=1),"","表側(28)の(7)、(8)のいずれかに計上数を入力してください！"),"")&amp;IF(AND(E45&gt;=F45,M45&gt;=N45),"","表側(28)では申請件数≧決定件数となるので見直して下さい！")</f>
      </c>
    </row>
    <row r="46" spans="2:17" ht="34.5" customHeight="1">
      <c r="B46" s="140"/>
      <c r="C46" s="82" t="s">
        <v>86</v>
      </c>
      <c r="D46" s="85" t="s">
        <v>145</v>
      </c>
      <c r="E46" s="103">
        <v>0</v>
      </c>
      <c r="F46" s="103">
        <v>0</v>
      </c>
      <c r="G46" s="103">
        <v>0</v>
      </c>
      <c r="H46" s="103">
        <v>0</v>
      </c>
      <c r="I46" s="111"/>
      <c r="J46" s="111"/>
      <c r="K46" s="111"/>
      <c r="L46" s="111"/>
      <c r="M46" s="103">
        <v>0</v>
      </c>
      <c r="N46" s="103">
        <v>0</v>
      </c>
      <c r="O46" s="103">
        <v>0</v>
      </c>
      <c r="P46" s="103">
        <v>0</v>
      </c>
      <c r="Q46" s="97">
        <f>IF(F46&gt;=1,IF(OR(G46&gt;=1,H46&gt;=1),"","表側(29)の(3)、(4)のいずれかに計上数を入力して下さい！"),"")&amp;IF(N46&gt;=1,IF(OR(O46&gt;=1,P46&gt;=1),"","表側(29)の(7)、(8)のいずれかに計上数を入力してください！"),"")&amp;IF(AND(E46&gt;=F46,M46&gt;=N46),"","(29)では申請件数≧決定件数となるので見直して下さい！")</f>
      </c>
    </row>
    <row r="47" spans="2:17" ht="30.75" customHeight="1">
      <c r="B47" s="140"/>
      <c r="C47" s="82" t="s">
        <v>47</v>
      </c>
      <c r="D47" s="85" t="s">
        <v>146</v>
      </c>
      <c r="E47" s="103">
        <v>0</v>
      </c>
      <c r="F47" s="103">
        <v>0</v>
      </c>
      <c r="G47" s="103">
        <v>0</v>
      </c>
      <c r="H47" s="103">
        <v>0</v>
      </c>
      <c r="I47" s="111"/>
      <c r="J47" s="111"/>
      <c r="K47" s="111"/>
      <c r="L47" s="111"/>
      <c r="M47" s="103">
        <v>0</v>
      </c>
      <c r="N47" s="103">
        <v>0</v>
      </c>
      <c r="O47" s="103">
        <v>0</v>
      </c>
      <c r="P47" s="103">
        <v>0</v>
      </c>
      <c r="Q47" s="97">
        <f>IF(F47&gt;=1,IF(OR(G47&gt;=1,H47&gt;=1),"","表側(30)の(3)、(4)のいずれかに計上数を入力して下さい！"),"")&amp;IF(N47&gt;=1,IF(OR(O47&gt;=1,P47&gt;=1),"","表側(30)の(7)、(8)のいずれかに計上数を入力してください！"),"")&amp;IF(AND(E47&gt;=F47,M47&gt;=N47),"","表側(30)では申請件数≧決定件数となるので見直して下さい！")</f>
      </c>
    </row>
    <row r="48" spans="2:17" ht="34.5" customHeight="1">
      <c r="B48" s="140"/>
      <c r="C48" s="84" t="s">
        <v>67</v>
      </c>
      <c r="D48" s="85" t="s">
        <v>147</v>
      </c>
      <c r="E48" s="103">
        <v>0</v>
      </c>
      <c r="F48" s="103">
        <v>0</v>
      </c>
      <c r="G48" s="103">
        <v>0</v>
      </c>
      <c r="H48" s="103">
        <v>0</v>
      </c>
      <c r="I48" s="111"/>
      <c r="J48" s="111"/>
      <c r="K48" s="111"/>
      <c r="L48" s="111"/>
      <c r="M48" s="103">
        <v>0</v>
      </c>
      <c r="N48" s="103">
        <v>0</v>
      </c>
      <c r="O48" s="103">
        <v>0</v>
      </c>
      <c r="P48" s="103">
        <v>0</v>
      </c>
      <c r="Q48" s="97">
        <f>IF(F48&gt;=1,IF(OR(G48&gt;=1,H48&gt;=1),"","表側(31)の(3)、(4)のいずれかに計上数を入力して下さい！"),"")&amp;IF(N48&gt;=1,IF(OR(O48&gt;=1,P48&gt;=1),"","表側(31)の(7)、(8)のいずれかに計上数を入力してください！"),"")&amp;IF(AND(E48&gt;=F48,M48&gt;=N48),"","表側(31)では申請件数≧決定件数となるので見直して下さい！")</f>
      </c>
    </row>
    <row r="49" spans="2:17" ht="30.75" customHeight="1">
      <c r="B49" s="140"/>
      <c r="C49" s="82" t="s">
        <v>48</v>
      </c>
      <c r="D49" s="85" t="s">
        <v>148</v>
      </c>
      <c r="E49" s="103">
        <v>1</v>
      </c>
      <c r="F49" s="103">
        <v>1</v>
      </c>
      <c r="G49" s="103">
        <v>292046</v>
      </c>
      <c r="H49" s="103">
        <v>0</v>
      </c>
      <c r="I49" s="111"/>
      <c r="J49" s="111"/>
      <c r="K49" s="111"/>
      <c r="L49" s="111"/>
      <c r="M49" s="103">
        <v>0</v>
      </c>
      <c r="N49" s="103">
        <v>0</v>
      </c>
      <c r="O49" s="103">
        <v>0</v>
      </c>
      <c r="P49" s="103">
        <v>0</v>
      </c>
      <c r="Q49" s="97">
        <f>IF(F49&gt;=1,IF(OR(G49&gt;=1,H49&gt;=1),"","表側(32)の(3)、(4)のいずれかに計上数を入力して下さい！"),"")&amp;IF(N49&gt;=1,IF(OR(O49&gt;=1,P49&gt;=1),"","表側(32)の(7)、(8)のいずれかに計上数を入力してください！"),"")&amp;IF(AND(E49&gt;=F49,M49&gt;=N49),"","表側(32)では申請件数≧決定件数となるので見直して下さい！")</f>
      </c>
    </row>
    <row r="50" spans="2:17" ht="37.5" customHeight="1">
      <c r="B50" s="140"/>
      <c r="C50" s="84" t="s">
        <v>68</v>
      </c>
      <c r="D50" s="85" t="s">
        <v>149</v>
      </c>
      <c r="E50" s="103">
        <v>0</v>
      </c>
      <c r="F50" s="103">
        <v>0</v>
      </c>
      <c r="G50" s="103">
        <v>0</v>
      </c>
      <c r="H50" s="103">
        <v>0</v>
      </c>
      <c r="I50" s="111"/>
      <c r="J50" s="111"/>
      <c r="K50" s="111"/>
      <c r="L50" s="111"/>
      <c r="M50" s="103">
        <v>0</v>
      </c>
      <c r="N50" s="103">
        <v>0</v>
      </c>
      <c r="O50" s="103">
        <v>0</v>
      </c>
      <c r="P50" s="103">
        <v>0</v>
      </c>
      <c r="Q50" s="97">
        <f>IF(F50&gt;=1,IF(OR(G50&gt;=1,H50&gt;=1),"","表側(33)の(3)、(4)のいずれかに計上数を入力して下さい！"),"")&amp;IF(N50&gt;=1,IF(OR(O50&gt;=1,P50&gt;=1),"","表側(33)の(7)、(8)のいずれかに計上数を入力してください！"),"")&amp;IF(AND(E50&gt;=F50,M50&gt;=N50),"","表側(33)では申請件数≧決定件数となるので見直して下さい！")</f>
      </c>
    </row>
    <row r="51" spans="2:17" ht="30.75" customHeight="1">
      <c r="B51" s="140"/>
      <c r="C51" s="82" t="s">
        <v>87</v>
      </c>
      <c r="D51" s="85" t="s">
        <v>150</v>
      </c>
      <c r="E51" s="103">
        <v>0</v>
      </c>
      <c r="F51" s="103">
        <v>0</v>
      </c>
      <c r="G51" s="103">
        <v>0</v>
      </c>
      <c r="H51" s="103">
        <v>0</v>
      </c>
      <c r="I51" s="111"/>
      <c r="J51" s="111"/>
      <c r="K51" s="111"/>
      <c r="L51" s="111"/>
      <c r="M51" s="103">
        <v>0</v>
      </c>
      <c r="N51" s="103">
        <v>0</v>
      </c>
      <c r="O51" s="103">
        <v>0</v>
      </c>
      <c r="P51" s="103">
        <v>0</v>
      </c>
      <c r="Q51" s="97">
        <f>IF(F51&gt;=1,IF(OR(G51&gt;=1,H51&gt;=1),"","表側(34)の(3)、(4)のいずれかに計上数を入力して下さい！"),"")&amp;IF(N51&gt;=1,IF(OR(O51&gt;=1,P51&gt;=1),"","表側(34)の(7)、(8)のいずれかに計上数を入力してください！"),"")&amp;IF(AND(E51&gt;=F51,M51&gt;=N51),"","表側(34)では申請件数≧決定件数となるので見直して下さい！")</f>
      </c>
    </row>
    <row r="52" spans="2:17" ht="30.75" customHeight="1">
      <c r="B52" s="140"/>
      <c r="C52" s="82" t="s">
        <v>49</v>
      </c>
      <c r="D52" s="85" t="s">
        <v>151</v>
      </c>
      <c r="E52" s="103">
        <v>5</v>
      </c>
      <c r="F52" s="103">
        <v>5</v>
      </c>
      <c r="G52" s="103">
        <v>758769</v>
      </c>
      <c r="H52" s="103">
        <v>25101</v>
      </c>
      <c r="I52" s="111"/>
      <c r="J52" s="111"/>
      <c r="K52" s="111"/>
      <c r="L52" s="111"/>
      <c r="M52" s="103">
        <v>4</v>
      </c>
      <c r="N52" s="103">
        <v>4</v>
      </c>
      <c r="O52" s="103">
        <v>255991</v>
      </c>
      <c r="P52" s="103">
        <v>19946</v>
      </c>
      <c r="Q52" s="97">
        <f>IF(F52&gt;=1,IF(OR(G52&gt;=1,H52&gt;=1),"","表側(35)の(3)、(4)のいずれかに計上数を入力して下さい！"),"")&amp;IF(N52&gt;=1,IF(OR(O52&gt;=1,P52&gt;=1),"","表側(35)の(7)、(8)のいずれかに計上数を入力してください！"),"")&amp;IF(AND(E52&gt;=F52,M52&gt;=N52),"","表側(35)では申請件数≧決定件数となるので見直して下さい！")</f>
      </c>
    </row>
    <row r="53" spans="2:17" ht="36" customHeight="1">
      <c r="B53" s="140"/>
      <c r="C53" s="84" t="s">
        <v>75</v>
      </c>
      <c r="D53" s="85" t="s">
        <v>152</v>
      </c>
      <c r="E53" s="103">
        <v>1</v>
      </c>
      <c r="F53" s="103">
        <v>1</v>
      </c>
      <c r="G53" s="103">
        <v>246646</v>
      </c>
      <c r="H53" s="103">
        <v>0</v>
      </c>
      <c r="I53" s="111"/>
      <c r="J53" s="111"/>
      <c r="K53" s="111"/>
      <c r="L53" s="111"/>
      <c r="M53" s="103">
        <v>0</v>
      </c>
      <c r="N53" s="103">
        <v>0</v>
      </c>
      <c r="O53" s="103">
        <v>0</v>
      </c>
      <c r="P53" s="103">
        <v>0</v>
      </c>
      <c r="Q53" s="97">
        <f>IF(F53&gt;=1,IF(OR(G53&gt;=1,H53&gt;=1),"","表側(36)の(3)、(4)のいずれかに計上数を入力して下さい！"),"")&amp;IF(N53&gt;=1,IF(OR(O53&gt;=1,P53&gt;=1),"","表側(36)の(7)、(8)のいずれかに計上数を入力してください！"),"")&amp;IF(AND(E53&gt;=F53,M53&gt;=N53),"","表側(36)では申請件数≧決定件数となるので見直して下さい！")</f>
      </c>
    </row>
    <row r="54" spans="2:17" ht="36" customHeight="1">
      <c r="B54" s="140"/>
      <c r="C54" s="84" t="s">
        <v>89</v>
      </c>
      <c r="D54" s="85" t="s">
        <v>153</v>
      </c>
      <c r="E54" s="103">
        <v>2</v>
      </c>
      <c r="F54" s="103">
        <v>2</v>
      </c>
      <c r="G54" s="103">
        <v>484221</v>
      </c>
      <c r="H54" s="103">
        <v>37200</v>
      </c>
      <c r="I54" s="111"/>
      <c r="J54" s="111"/>
      <c r="K54" s="111"/>
      <c r="L54" s="111"/>
      <c r="M54" s="103">
        <v>0</v>
      </c>
      <c r="N54" s="103">
        <v>0</v>
      </c>
      <c r="O54" s="103">
        <v>0</v>
      </c>
      <c r="P54" s="103">
        <v>0</v>
      </c>
      <c r="Q54" s="97">
        <f>IF(F54&gt;=1,IF(OR(G54&gt;=1,H54&gt;=1),"","表側(37)の(3)、(4)のいずれかに計上数を入力して下さい！"),"")&amp;IF(N54&gt;=1,IF(OR(O54&gt;=1,P54&gt;=1),"","表側(37)の(7)、(8)のいずれかに計上数を入力してください！"),"")&amp;IF(AND(E54&gt;=F54,M54&gt;=N54),"","表側(37)では申請件数≧決定件数となるので見直して下さい！")</f>
      </c>
    </row>
    <row r="55" spans="2:17" ht="34.5">
      <c r="B55" s="140"/>
      <c r="C55" s="82" t="s">
        <v>88</v>
      </c>
      <c r="D55" s="85" t="s">
        <v>154</v>
      </c>
      <c r="E55" s="103">
        <v>3</v>
      </c>
      <c r="F55" s="103">
        <v>3</v>
      </c>
      <c r="G55" s="103">
        <v>431200</v>
      </c>
      <c r="H55" s="103">
        <v>20099</v>
      </c>
      <c r="I55" s="111"/>
      <c r="J55" s="111"/>
      <c r="K55" s="111"/>
      <c r="L55" s="111"/>
      <c r="M55" s="103">
        <v>0</v>
      </c>
      <c r="N55" s="103">
        <v>0</v>
      </c>
      <c r="O55" s="103">
        <v>0</v>
      </c>
      <c r="P55" s="103">
        <v>0</v>
      </c>
      <c r="Q55" s="97">
        <f>IF(F55&gt;=1,IF(OR(G55&gt;=1,H55&gt;=1),"","表側(38)の(3)、(4)のいずれかに計上数を入力して下さい！"),"")&amp;IF(N55&gt;=1,IF(OR(O55&gt;=1,P55&gt;=1),"","表側(38)の(7)、(8)のいずれかに計上数を入力してください！"),"")&amp;IF(AND(E55&gt;=F55,M55&gt;=N55),"","表側(38)では申請件数≧決定件数となるので見直して下さい！")</f>
      </c>
    </row>
    <row r="56" spans="2:17" ht="30.75" customHeight="1">
      <c r="B56" s="137" t="s">
        <v>102</v>
      </c>
      <c r="C56" s="82" t="s">
        <v>50</v>
      </c>
      <c r="D56" s="85" t="s">
        <v>155</v>
      </c>
      <c r="E56" s="103">
        <v>0</v>
      </c>
      <c r="F56" s="103">
        <v>0</v>
      </c>
      <c r="G56" s="103">
        <v>0</v>
      </c>
      <c r="H56" s="103">
        <v>0</v>
      </c>
      <c r="I56" s="111"/>
      <c r="J56" s="111"/>
      <c r="K56" s="111"/>
      <c r="L56" s="111"/>
      <c r="M56" s="103">
        <v>0</v>
      </c>
      <c r="N56" s="103">
        <v>0</v>
      </c>
      <c r="O56" s="103">
        <v>0</v>
      </c>
      <c r="P56" s="103">
        <v>0</v>
      </c>
      <c r="Q56" s="97">
        <f>IF(F56&gt;=1,IF(OR(G56&gt;=1,H56&gt;=1),"","表側(39)の(3)、(4)のいずれかに計上数を入力して下さい！"),"")&amp;IF(N56&gt;=1,IF(OR(O56&gt;=1,P56&gt;=1),"","表側(39)の(7)、(8)のいずれかに計上数を入力してください！"),"")&amp;IF(AND(E56&gt;=F56,M56&gt;=N56),"","表側(39)では申請件数≧決定件数となるので見直して下さい！")</f>
      </c>
    </row>
    <row r="57" spans="2:17" ht="30.75" customHeight="1">
      <c r="B57" s="140"/>
      <c r="C57" s="82" t="s">
        <v>51</v>
      </c>
      <c r="D57" s="85" t="s">
        <v>156</v>
      </c>
      <c r="E57" s="103">
        <v>0</v>
      </c>
      <c r="F57" s="103">
        <v>0</v>
      </c>
      <c r="G57" s="103">
        <v>0</v>
      </c>
      <c r="H57" s="103">
        <v>0</v>
      </c>
      <c r="I57" s="111"/>
      <c r="J57" s="111"/>
      <c r="K57" s="111"/>
      <c r="L57" s="111"/>
      <c r="M57" s="103">
        <v>0</v>
      </c>
      <c r="N57" s="103">
        <v>0</v>
      </c>
      <c r="O57" s="103">
        <v>0</v>
      </c>
      <c r="P57" s="103">
        <v>0</v>
      </c>
      <c r="Q57" s="97">
        <f>IF(F57&gt;=1,IF(OR(G57&gt;=1,H57&gt;=1),"","表側(40)の(3)、(4)のいずれかに計上数を入力して下さい！"),"")&amp;IF(N57&gt;=1,IF(OR(O57&gt;=1,P57&gt;=1),"","表側(40)の(7)、(8)のいずれかに計上数を入力してください！"),"")&amp;IF(AND(E57&gt;=F57,M57&gt;=N57),"","表側(40)では申請件数≧決定件数となるので見直して下さい！")</f>
      </c>
    </row>
    <row r="58" spans="2:17" ht="30.75" customHeight="1">
      <c r="B58" s="140"/>
      <c r="C58" s="82" t="s">
        <v>140</v>
      </c>
      <c r="D58" s="85" t="s">
        <v>157</v>
      </c>
      <c r="E58" s="103">
        <v>1</v>
      </c>
      <c r="F58" s="103">
        <v>1</v>
      </c>
      <c r="G58" s="103">
        <v>651824</v>
      </c>
      <c r="H58" s="103">
        <v>0</v>
      </c>
      <c r="I58" s="111"/>
      <c r="J58" s="111"/>
      <c r="K58" s="111"/>
      <c r="L58" s="111"/>
      <c r="M58" s="103">
        <v>1</v>
      </c>
      <c r="N58" s="103">
        <v>1</v>
      </c>
      <c r="O58" s="103">
        <v>208640</v>
      </c>
      <c r="P58" s="103">
        <v>0</v>
      </c>
      <c r="Q58" s="97">
        <f>IF(F58&gt;=1,IF(OR(G58&gt;=1,H58&gt;=1),"","表側(41)の(3)、(4)のいずれかに計上数を入力して下さい！"),"")&amp;IF(N58&gt;=1,IF(OR(O58&gt;=1,P58&gt;=1),"","表側(41)の(7)、(8)のいずれかに計上数を入力してください！"),"")&amp;IF(AND(E58&gt;=F58,M58&gt;=N58),"","表側(41)では申請件数≧決定件数となるので見直して下さい！")</f>
      </c>
    </row>
    <row r="59" spans="2:17" ht="30.75" customHeight="1">
      <c r="B59" s="140"/>
      <c r="C59" s="82" t="s">
        <v>46</v>
      </c>
      <c r="D59" s="85" t="s">
        <v>158</v>
      </c>
      <c r="E59" s="103">
        <v>0</v>
      </c>
      <c r="F59" s="103">
        <v>0</v>
      </c>
      <c r="G59" s="103">
        <v>0</v>
      </c>
      <c r="H59" s="103">
        <v>0</v>
      </c>
      <c r="I59" s="111"/>
      <c r="J59" s="111"/>
      <c r="K59" s="111"/>
      <c r="L59" s="111"/>
      <c r="M59" s="103">
        <v>1</v>
      </c>
      <c r="N59" s="103">
        <v>1</v>
      </c>
      <c r="O59" s="103">
        <v>10800</v>
      </c>
      <c r="P59" s="103">
        <v>0</v>
      </c>
      <c r="Q59" s="97">
        <f>IF(F59&gt;=1,IF(OR(G59&gt;=1,H59&gt;=1),"","表側(42)の(3)、(4)のいずれかに計上数を入力して下さい！"),"")&amp;IF(N59&gt;=1,IF(OR(O59&gt;=1,P59&gt;=1),"","表側(42)の(7)、(8)のいずれかに計上数を入力してください！"),"")&amp;IF(AND(E59&gt;=F59,M59&gt;=N59),"","表側(42)では申請件数≧決定件数となるので見直して下さい！")</f>
      </c>
    </row>
    <row r="60" spans="2:17" ht="37.5" customHeight="1">
      <c r="B60" s="140"/>
      <c r="C60" s="84" t="s">
        <v>69</v>
      </c>
      <c r="D60" s="85" t="s">
        <v>159</v>
      </c>
      <c r="E60" s="103">
        <v>0</v>
      </c>
      <c r="F60" s="103">
        <v>0</v>
      </c>
      <c r="G60" s="103">
        <v>0</v>
      </c>
      <c r="H60" s="103">
        <v>0</v>
      </c>
      <c r="I60" s="111"/>
      <c r="J60" s="111"/>
      <c r="K60" s="111"/>
      <c r="L60" s="111"/>
      <c r="M60" s="103">
        <v>0</v>
      </c>
      <c r="N60" s="103">
        <v>0</v>
      </c>
      <c r="O60" s="103">
        <v>0</v>
      </c>
      <c r="P60" s="103">
        <v>0</v>
      </c>
      <c r="Q60" s="97">
        <f>IF(F60&gt;=1,IF(OR(G60&gt;=1,H60&gt;=1),"","表側(43)の(3)、(4)のいずれかに計上数を入力して下さい！"),"")&amp;IF(N60&gt;=1,IF(OR(O60&gt;=1,P60&gt;=1),"","表側(43)の(7)、(8)のいずれかに計上数を入力してください！"),"")&amp;IF(AND(E60&gt;=F60,M60&gt;=N60),"","表側(43)では申請件数≧決定件数となるので見直して下さい！")</f>
      </c>
    </row>
    <row r="61" spans="2:17" ht="30.75" customHeight="1">
      <c r="B61" s="140"/>
      <c r="C61" s="82" t="s">
        <v>52</v>
      </c>
      <c r="D61" s="85" t="s">
        <v>160</v>
      </c>
      <c r="E61" s="103">
        <v>0</v>
      </c>
      <c r="F61" s="103">
        <v>0</v>
      </c>
      <c r="G61" s="103">
        <v>0</v>
      </c>
      <c r="H61" s="103">
        <v>0</v>
      </c>
      <c r="I61" s="111"/>
      <c r="J61" s="111"/>
      <c r="K61" s="111"/>
      <c r="L61" s="111"/>
      <c r="M61" s="103">
        <v>0</v>
      </c>
      <c r="N61" s="103">
        <v>0</v>
      </c>
      <c r="O61" s="103">
        <v>0</v>
      </c>
      <c r="P61" s="103">
        <v>0</v>
      </c>
      <c r="Q61" s="97">
        <f>IF(F61&gt;=1,IF(OR(G61&gt;=1,H61&gt;=1),"","表側(44)の(3)、(4)のいずれかに計上数を入力して下さい！"),"")&amp;IF(N61&gt;=1,IF(OR(O61&gt;=1,P61&gt;=1),"","表側(44)の(7)、(8)のいずれかに計上数を入力してください！"),"")&amp;IF(AND(E61&gt;=F61,M61&gt;=N61),"","表側(44)では申請件数≧決定件数となるので見直して下さい！")</f>
      </c>
    </row>
    <row r="62" spans="2:17" ht="30.75" customHeight="1">
      <c r="B62" s="140"/>
      <c r="C62" s="84" t="s">
        <v>96</v>
      </c>
      <c r="D62" s="85" t="s">
        <v>161</v>
      </c>
      <c r="E62" s="103">
        <v>1</v>
      </c>
      <c r="F62" s="103">
        <v>1</v>
      </c>
      <c r="G62" s="103">
        <v>846469</v>
      </c>
      <c r="H62" s="103">
        <v>0</v>
      </c>
      <c r="I62" s="111"/>
      <c r="J62" s="111"/>
      <c r="K62" s="111"/>
      <c r="L62" s="111"/>
      <c r="M62" s="103">
        <v>0</v>
      </c>
      <c r="N62" s="103">
        <v>0</v>
      </c>
      <c r="O62" s="103">
        <v>0</v>
      </c>
      <c r="P62" s="103">
        <v>0</v>
      </c>
      <c r="Q62" s="97">
        <f>IF(F62&gt;=1,IF(OR(G62&gt;=1,H62&gt;=1),"","表側(45)の(3)、(4)のいずれかに計上数を入力して下さい！"),"")&amp;IF(N62&gt;=1,IF(OR(O62&gt;=1,P62&gt;=1),"","表側(45)の(7)、(8)のいずれかに計上数を入力してください！"),"")&amp;IF(AND(E62&gt;=F62,M62&gt;=N62),"","表側(45)では申請件数≧決定件数となるので見直して下さい！")</f>
      </c>
    </row>
    <row r="63" spans="2:17" ht="34.5">
      <c r="B63" s="140"/>
      <c r="C63" s="82" t="s">
        <v>90</v>
      </c>
      <c r="D63" s="85" t="s">
        <v>162</v>
      </c>
      <c r="E63" s="103">
        <v>0</v>
      </c>
      <c r="F63" s="103">
        <v>0</v>
      </c>
      <c r="G63" s="103">
        <v>0</v>
      </c>
      <c r="H63" s="103">
        <v>0</v>
      </c>
      <c r="I63" s="111"/>
      <c r="J63" s="111"/>
      <c r="K63" s="111"/>
      <c r="L63" s="111"/>
      <c r="M63" s="103">
        <v>0</v>
      </c>
      <c r="N63" s="103">
        <v>0</v>
      </c>
      <c r="O63" s="103">
        <v>0</v>
      </c>
      <c r="P63" s="103">
        <v>0</v>
      </c>
      <c r="Q63" s="97">
        <f>IF(F63&gt;=1,IF(OR(G63&gt;=1,H63&gt;=1),"","表側(46)の(3)、(4)のいずれかに計上数を入力して下さい！"),"")&amp;IF(N63&gt;=1,IF(OR(O63&gt;=1,P63&gt;=1),"","表側(46)の(7)、(8)のいずれかに計上数を入力してください！"),"")&amp;IF(AND(E63&gt;=F63,M63&gt;=N63),"","表側(46)では申請件数≧決定件数となるので見直して下さい！")</f>
      </c>
    </row>
    <row r="64" spans="2:17" ht="30.75" customHeight="1">
      <c r="B64" s="141" t="s">
        <v>101</v>
      </c>
      <c r="C64" s="142"/>
      <c r="D64" s="85" t="s">
        <v>163</v>
      </c>
      <c r="E64" s="103">
        <v>2</v>
      </c>
      <c r="F64" s="103">
        <v>2</v>
      </c>
      <c r="G64" s="103">
        <v>144665</v>
      </c>
      <c r="H64" s="103">
        <v>7923</v>
      </c>
      <c r="I64" s="103">
        <v>0</v>
      </c>
      <c r="J64" s="103">
        <v>0</v>
      </c>
      <c r="K64" s="103">
        <v>0</v>
      </c>
      <c r="L64" s="103">
        <v>0</v>
      </c>
      <c r="M64" s="103">
        <v>2</v>
      </c>
      <c r="N64" s="103">
        <v>2</v>
      </c>
      <c r="O64" s="103">
        <v>81592</v>
      </c>
      <c r="P64" s="103">
        <v>0</v>
      </c>
      <c r="Q64" s="97">
        <f>IF(F64&gt;=1,IF(OR(G64&gt;=1,H64&gt;=1),"","表側(47)の(3)、(4)のいずれかに計上数を入力して下さい！"),"")&amp;IF(J64&gt;=1,IF(OR(K64&gt;=1,L64&gt;=1),"","表側(47)の(7)、(8)のいずれかに計上数を入力してください！"),"")&amp;IF(N64&gt;=1,IF(OR(O64&gt;=1,P64&gt;=1),"","表側(47)の(11)、(12)のいずれかに計上数を入力してください！"),"")&amp;IF(AND(E64&gt;=F64,I64&gt;=J64,M64&gt;=N64),"","表側(47)では申請件数（借受けは判定件数）≧決定件数となるので見直して下さい！")&amp;IF(AND(E64&gt;=I64),"","表側(47)では申請件数(1)≧判定件数(5)となるので見直して下さい！")</f>
      </c>
    </row>
    <row r="65" spans="2:17" ht="30.75" customHeight="1">
      <c r="B65" s="141" t="s">
        <v>70</v>
      </c>
      <c r="C65" s="142"/>
      <c r="D65" s="85" t="s">
        <v>164</v>
      </c>
      <c r="E65" s="103">
        <v>0</v>
      </c>
      <c r="F65" s="103">
        <v>0</v>
      </c>
      <c r="G65" s="103">
        <v>0</v>
      </c>
      <c r="H65" s="103">
        <v>0</v>
      </c>
      <c r="I65" s="111"/>
      <c r="J65" s="111"/>
      <c r="K65" s="111"/>
      <c r="L65" s="111"/>
      <c r="M65" s="103">
        <v>0</v>
      </c>
      <c r="N65" s="103">
        <v>0</v>
      </c>
      <c r="O65" s="103">
        <v>0</v>
      </c>
      <c r="P65" s="103">
        <v>0</v>
      </c>
      <c r="Q65" s="97">
        <f>IF(F65&gt;=1,IF(OR(G65&gt;=1,H65&gt;=1),"","表側(48)の(3)、(4)のいずれかに計上数を入力して下さい！"),"")&amp;IF(N65&gt;=1,IF(OR(O65&gt;=1,P65&gt;=1),"","表側(48)の(7)、(8)のいずれかに計上数を入力してください！"),"")&amp;IF(AND(E65&gt;=F65,M65&gt;=N65),"","表側(48)では申請件数≧決定件数となるので見直して下さい！")</f>
      </c>
    </row>
    <row r="66" spans="2:17" ht="30.75" customHeight="1">
      <c r="B66" s="141" t="s">
        <v>71</v>
      </c>
      <c r="C66" s="142"/>
      <c r="D66" s="85" t="s">
        <v>165</v>
      </c>
      <c r="E66" s="103">
        <v>0</v>
      </c>
      <c r="F66" s="103">
        <v>0</v>
      </c>
      <c r="G66" s="103">
        <v>0</v>
      </c>
      <c r="H66" s="103">
        <v>0</v>
      </c>
      <c r="I66" s="103">
        <v>0</v>
      </c>
      <c r="J66" s="103">
        <v>0</v>
      </c>
      <c r="K66" s="103">
        <v>0</v>
      </c>
      <c r="L66" s="103">
        <v>0</v>
      </c>
      <c r="M66" s="103">
        <v>0</v>
      </c>
      <c r="N66" s="103">
        <v>0</v>
      </c>
      <c r="O66" s="103">
        <v>0</v>
      </c>
      <c r="P66" s="103">
        <v>0</v>
      </c>
      <c r="Q66" s="97">
        <f>IF(F66&gt;=1,IF(OR(G66&gt;=1,H66&gt;=1),"","表側(49)の(3)、(4)のいずれかに計上数を入力して下さい！"),"")&amp;IF(J66&gt;=1,IF(OR(K66&gt;=1,L66&gt;=1),"","表側(49)の(7)、(8)のいずれかに計上数を入力してください！"),"")&amp;IF(N66&gt;=1,IF(OR(O66&gt;=1,P66&gt;=1),"","表側(49)の(11)、(12)のいずれかに計上数を入力してください！"),"")&amp;IF(AND(E66&gt;=F66,I66&gt;=J66,M66&gt;=N66),"","表側(49)では申請件数（借受けは判定件数）≧決定件数となるので見直して下さい！")&amp;IF(AND(E66&gt;=I66),"","表側(49)では申請件数(1)≧判定件数(5)となるので見直して下さい！")</f>
      </c>
    </row>
    <row r="67" spans="2:17" ht="30.75" customHeight="1">
      <c r="B67" s="141" t="s">
        <v>72</v>
      </c>
      <c r="C67" s="142"/>
      <c r="D67" s="85" t="s">
        <v>166</v>
      </c>
      <c r="E67" s="103">
        <v>2</v>
      </c>
      <c r="F67" s="103">
        <v>2</v>
      </c>
      <c r="G67" s="103">
        <v>14136</v>
      </c>
      <c r="H67" s="103">
        <v>744</v>
      </c>
      <c r="I67" s="111"/>
      <c r="J67" s="111"/>
      <c r="K67" s="111"/>
      <c r="L67" s="111"/>
      <c r="M67" s="103">
        <v>0</v>
      </c>
      <c r="N67" s="103">
        <v>0</v>
      </c>
      <c r="O67" s="103">
        <v>0</v>
      </c>
      <c r="P67" s="103">
        <v>0</v>
      </c>
      <c r="Q67" s="97">
        <f>IF(F67&gt;=1,IF(OR(G67&gt;=1,H67&gt;=1),"","表側(50)の(3)、(4)のいずれかに計上数を入力して下さい！"),"")&amp;IF(N67&gt;=1,IF(OR(O67&gt;=1,P67&gt;=1),"","表側(50)の(7)、(8)のいずれかに計上数を入力してください！"),"")&amp;IF(AND(E67&gt;=F67,M67&gt;=N67),"","表側(50)では申請件数≧決定件数となるので見直して下さい！")</f>
      </c>
    </row>
    <row r="68" spans="2:17" ht="30.75" customHeight="1">
      <c r="B68" s="141" t="s">
        <v>73</v>
      </c>
      <c r="C68" s="142"/>
      <c r="D68" s="85" t="s">
        <v>167</v>
      </c>
      <c r="E68" s="103">
        <v>0</v>
      </c>
      <c r="F68" s="103">
        <v>0</v>
      </c>
      <c r="G68" s="103">
        <v>0</v>
      </c>
      <c r="H68" s="103">
        <v>0</v>
      </c>
      <c r="I68" s="111"/>
      <c r="J68" s="111"/>
      <c r="K68" s="111"/>
      <c r="L68" s="111"/>
      <c r="M68" s="103">
        <v>0</v>
      </c>
      <c r="N68" s="103">
        <v>0</v>
      </c>
      <c r="O68" s="103">
        <v>0</v>
      </c>
      <c r="P68" s="103">
        <v>0</v>
      </c>
      <c r="Q68" s="97">
        <f>IF(F68&gt;=1,IF(OR(G68&gt;=1,H68&gt;=1),"","表側(51)の(3)、(4)のいずれかに計上数を入力して下さい！"),"")&amp;IF(N68&gt;=1,IF(OR(O68&gt;=1,P68&gt;=1),"","表側(51)の(7)、(8)のいずれかに計上数を入力してください！"),"")&amp;IF(AND(E68&gt;=F68,M68&gt;=N68),"","表側(51)では申請件数≧決定件数となるので見直して下さい！")</f>
      </c>
    </row>
    <row r="69" spans="2:17" ht="30.75" customHeight="1">
      <c r="B69" s="141" t="s">
        <v>74</v>
      </c>
      <c r="C69" s="142"/>
      <c r="D69" s="85" t="s">
        <v>168</v>
      </c>
      <c r="E69" s="103">
        <v>6</v>
      </c>
      <c r="F69" s="103">
        <v>6</v>
      </c>
      <c r="G69" s="103">
        <v>46950</v>
      </c>
      <c r="H69" s="103">
        <v>3354</v>
      </c>
      <c r="I69" s="111"/>
      <c r="J69" s="111"/>
      <c r="K69" s="111"/>
      <c r="L69" s="111"/>
      <c r="M69" s="103">
        <v>0</v>
      </c>
      <c r="N69" s="103">
        <v>0</v>
      </c>
      <c r="O69" s="103">
        <v>0</v>
      </c>
      <c r="P69" s="103">
        <v>0</v>
      </c>
      <c r="Q69" s="97">
        <f>IF(F69&gt;=1,IF(OR(G69&gt;=1,H69&gt;=1),"","表側(52)の(3)、(4)のいずれかに計上数を入力して下さい！"),"")&amp;IF(N69&gt;=1,IF(OR(O69&gt;=1,P69&gt;=1),"","表側(52)の(7)、(8)のいずれかに計上数を入力してください！"),"")&amp;IF(AND(E69&gt;=F69,M69&gt;=N69),"","表側(52)では申請件数≧決定件数となるので見直して下さい！")</f>
      </c>
    </row>
    <row r="70" spans="2:17" ht="30.75" customHeight="1" thickBot="1">
      <c r="B70" s="143" t="s">
        <v>76</v>
      </c>
      <c r="C70" s="144"/>
      <c r="D70" s="85" t="s">
        <v>169</v>
      </c>
      <c r="E70" s="103">
        <v>1</v>
      </c>
      <c r="F70" s="103">
        <v>1</v>
      </c>
      <c r="G70" s="103">
        <v>618320</v>
      </c>
      <c r="H70" s="103">
        <v>0</v>
      </c>
      <c r="I70" s="103">
        <v>0</v>
      </c>
      <c r="J70" s="103">
        <v>0</v>
      </c>
      <c r="K70" s="103">
        <v>0</v>
      </c>
      <c r="L70" s="103">
        <v>0</v>
      </c>
      <c r="M70" s="103">
        <v>0</v>
      </c>
      <c r="N70" s="103">
        <v>0</v>
      </c>
      <c r="O70" s="103">
        <v>0</v>
      </c>
      <c r="P70" s="103">
        <v>0</v>
      </c>
      <c r="Q70" s="97">
        <f>IF(F70&gt;=1,IF(OR(G70&gt;=1,H70&gt;=1),"","表側(53)の(3)、(4)のいずれかに計上数を入力して下さい！"),"")&amp;IF(J70&gt;=1,IF(OR(K70&gt;=1,L70&gt;=1),"","表側(53)の(7)、(8)のいずれかに計上数を入力してください！"),"")&amp;IF(N70&gt;=1,IF(OR(O70&gt;=1,P70&gt;=1),"","表側(53)の(11)、(12)のいずれかに計上数を入力してください！"),"")&amp;IF(AND(E70&gt;=F70,I70&gt;=J70,M70&gt;=N70),"","表側(53)では申請件数（借受けは判定件数）≧決定件数となるので見直して下さい！")&amp;IF(AND(E70&gt;=I70),"","表側(53)では申請件数(1)≧判定件数(5)となるので見直して下さい！")</f>
      </c>
    </row>
    <row r="71" spans="2:17" ht="30.75" customHeight="1" thickTop="1">
      <c r="B71" s="146" t="s">
        <v>77</v>
      </c>
      <c r="C71" s="147"/>
      <c r="D71" s="86" t="s">
        <v>91</v>
      </c>
      <c r="E71" s="87">
        <f>SUM(E18:E70)</f>
        <v>142</v>
      </c>
      <c r="F71" s="87">
        <f aca="true" t="shared" si="0" ref="F71:P71">SUM(F18:F70)</f>
        <v>142</v>
      </c>
      <c r="G71" s="87">
        <f t="shared" si="0"/>
        <v>21901712</v>
      </c>
      <c r="H71" s="87">
        <f t="shared" si="0"/>
        <v>627727</v>
      </c>
      <c r="I71" s="87">
        <f>SUM(I18:I70)</f>
        <v>0</v>
      </c>
      <c r="J71" s="87">
        <f>SUM(J18:J70)</f>
        <v>0</v>
      </c>
      <c r="K71" s="87">
        <f>SUM(K18:K70)</f>
        <v>0</v>
      </c>
      <c r="L71" s="87">
        <f>SUM(L18:L70)</f>
        <v>0</v>
      </c>
      <c r="M71" s="87">
        <f t="shared" si="0"/>
        <v>88</v>
      </c>
      <c r="N71" s="87">
        <f t="shared" si="0"/>
        <v>88</v>
      </c>
      <c r="O71" s="87">
        <f t="shared" si="0"/>
        <v>3565262</v>
      </c>
      <c r="P71" s="87">
        <f t="shared" si="0"/>
        <v>187042</v>
      </c>
      <c r="Q71" s="97">
        <f>IF(F71&gt;=1,IF(OR(G71&gt;=1,H71&gt;=1),"","表側(54)の(3)、(4)のいずれかに計上数を入力して下さい！"),"")&amp;IF(N71&gt;=1,IF(OR(O71&gt;=1,P71&gt;=1),"","表側(54)の(7)、(8)のいずれかに計上数を入力してください！"),"")&amp;IF(AND(E71&gt;=F71,M71&gt;=N71),"","表側(54)では申請件数≧決定件数となるので見直して下さい！")</f>
      </c>
    </row>
    <row r="72" spans="12:16" ht="13.5">
      <c r="L72" s="41"/>
      <c r="P72" s="41"/>
    </row>
    <row r="73" ht="13.5">
      <c r="B73" s="42"/>
    </row>
    <row r="74" s="7" customFormat="1" ht="13.5"/>
    <row r="75" s="7" customFormat="1" ht="13.5">
      <c r="B75" s="101"/>
    </row>
    <row r="76" spans="4:17" s="7" customFormat="1" ht="13.5">
      <c r="D76" s="43"/>
      <c r="Q76" s="44"/>
    </row>
    <row r="77" spans="4:17" s="7" customFormat="1" ht="16.5" customHeight="1">
      <c r="D77" s="43"/>
      <c r="G77" s="1"/>
      <c r="Q77" s="44"/>
    </row>
    <row r="78" spans="2:6" ht="14.25">
      <c r="B78" s="7"/>
      <c r="C78" s="7"/>
      <c r="D78" s="43"/>
      <c r="E78" s="7"/>
      <c r="F78" s="76"/>
    </row>
    <row r="79" spans="2:18" ht="14.25">
      <c r="B79" s="120"/>
      <c r="C79" s="98"/>
      <c r="D79" s="99"/>
      <c r="E79" s="98"/>
      <c r="F79" s="100"/>
      <c r="G79" s="17"/>
      <c r="H79" s="5"/>
      <c r="I79" s="45"/>
      <c r="J79" s="5"/>
      <c r="K79" s="24"/>
      <c r="L79" s="5"/>
      <c r="M79" s="45"/>
      <c r="N79" s="5"/>
      <c r="O79" s="24"/>
      <c r="P79" s="5"/>
      <c r="Q79" s="5"/>
      <c r="R79" s="5"/>
    </row>
    <row r="80" spans="2:18" ht="14.25">
      <c r="B80" s="102"/>
      <c r="C80" s="98"/>
      <c r="D80" s="99"/>
      <c r="E80" s="98"/>
      <c r="F80" s="100"/>
      <c r="G80" s="17"/>
      <c r="H80" s="5"/>
      <c r="I80" s="45"/>
      <c r="J80" s="5"/>
      <c r="K80" s="24"/>
      <c r="L80" s="5"/>
      <c r="M80" s="45"/>
      <c r="N80" s="5"/>
      <c r="O80" s="24"/>
      <c r="P80" s="5"/>
      <c r="Q80" s="5"/>
      <c r="R80" s="5"/>
    </row>
    <row r="81" spans="6:18" ht="13.5">
      <c r="F81" s="7"/>
      <c r="G81" s="44"/>
      <c r="H81" s="5"/>
      <c r="I81" s="45"/>
      <c r="J81" s="5"/>
      <c r="K81" s="24"/>
      <c r="L81" s="5"/>
      <c r="M81" s="45"/>
      <c r="N81" s="5"/>
      <c r="O81" s="24"/>
      <c r="P81" s="5"/>
      <c r="Q81" s="5"/>
      <c r="R81" s="5"/>
    </row>
    <row r="82" spans="2:18" ht="13.5">
      <c r="B82" s="42"/>
      <c r="F82" s="7"/>
      <c r="G82" s="44"/>
      <c r="H82" s="5"/>
      <c r="I82" s="45"/>
      <c r="J82" s="5"/>
      <c r="K82" s="24"/>
      <c r="L82" s="5"/>
      <c r="M82" s="45"/>
      <c r="N82" s="5"/>
      <c r="O82" s="24"/>
      <c r="P82" s="5"/>
      <c r="Q82" s="5"/>
      <c r="R82" s="5"/>
    </row>
    <row r="83" spans="2:18" ht="13.5">
      <c r="B83" s="7"/>
      <c r="C83" s="7"/>
      <c r="D83" s="7"/>
      <c r="E83" s="7"/>
      <c r="F83" s="5"/>
      <c r="G83" s="5"/>
      <c r="H83" s="5"/>
      <c r="I83" s="45"/>
      <c r="J83" s="5"/>
      <c r="K83" s="24"/>
      <c r="L83" s="5"/>
      <c r="M83" s="45"/>
      <c r="N83" s="5"/>
      <c r="O83" s="24"/>
      <c r="P83" s="5"/>
      <c r="Q83" s="5"/>
      <c r="R83" s="5"/>
    </row>
    <row r="84" spans="2:18" ht="13.5">
      <c r="B84" s="7"/>
      <c r="C84" s="7"/>
      <c r="D84" s="7"/>
      <c r="E84" s="7"/>
      <c r="F84" s="5"/>
      <c r="G84" s="5"/>
      <c r="H84" s="5"/>
      <c r="I84" s="45"/>
      <c r="J84" s="5"/>
      <c r="K84" s="24"/>
      <c r="L84" s="5"/>
      <c r="M84" s="45"/>
      <c r="N84" s="5"/>
      <c r="O84" s="24"/>
      <c r="P84" s="5"/>
      <c r="Q84" s="5"/>
      <c r="R84" s="5"/>
    </row>
    <row r="85" spans="2:18" ht="13.5">
      <c r="B85" s="7"/>
      <c r="C85" s="121"/>
      <c r="D85" s="122"/>
      <c r="E85" s="123"/>
      <c r="F85" s="5"/>
      <c r="G85" s="5"/>
      <c r="H85" s="5"/>
      <c r="I85" s="45"/>
      <c r="J85" s="5"/>
      <c r="K85" s="24"/>
      <c r="L85" s="5"/>
      <c r="M85" s="45"/>
      <c r="N85" s="5"/>
      <c r="O85" s="24"/>
      <c r="P85" s="5"/>
      <c r="Q85" s="5"/>
      <c r="R85" s="5"/>
    </row>
    <row r="86" spans="2:18" ht="13.5">
      <c r="B86" s="5"/>
      <c r="C86" s="45"/>
      <c r="D86" s="5"/>
      <c r="E86" s="24"/>
      <c r="F86" s="5"/>
      <c r="G86" s="5"/>
      <c r="H86" s="5"/>
      <c r="I86" s="45"/>
      <c r="J86" s="5"/>
      <c r="K86" s="24"/>
      <c r="L86" s="5"/>
      <c r="M86" s="45"/>
      <c r="N86" s="5"/>
      <c r="O86" s="24"/>
      <c r="P86" s="5"/>
      <c r="Q86" s="5"/>
      <c r="R86" s="5"/>
    </row>
    <row r="87" spans="2:18" ht="13.5">
      <c r="B87" s="5"/>
      <c r="C87" s="45"/>
      <c r="D87" s="5"/>
      <c r="E87" s="24"/>
      <c r="F87" s="5"/>
      <c r="G87" s="5"/>
      <c r="H87" s="5"/>
      <c r="I87" s="45"/>
      <c r="J87" s="5"/>
      <c r="K87" s="24"/>
      <c r="L87" s="5"/>
      <c r="M87" s="45"/>
      <c r="N87" s="5"/>
      <c r="O87" s="24"/>
      <c r="P87" s="5"/>
      <c r="Q87" s="5"/>
      <c r="R87" s="5"/>
    </row>
    <row r="88" spans="2:18" ht="13.5">
      <c r="B88" s="5"/>
      <c r="C88" s="45"/>
      <c r="D88" s="5"/>
      <c r="E88" s="24"/>
      <c r="F88" s="5"/>
      <c r="G88" s="5"/>
      <c r="H88" s="5"/>
      <c r="I88" s="45"/>
      <c r="J88" s="5"/>
      <c r="K88" s="24"/>
      <c r="L88" s="5"/>
      <c r="M88" s="45"/>
      <c r="N88" s="5"/>
      <c r="O88" s="24"/>
      <c r="P88" s="5"/>
      <c r="Q88" s="5"/>
      <c r="R88" s="5"/>
    </row>
    <row r="89" spans="2:18" ht="13.5">
      <c r="B89" s="5"/>
      <c r="C89" s="45"/>
      <c r="D89" s="5"/>
      <c r="E89" s="24"/>
      <c r="F89" s="5"/>
      <c r="G89" s="5"/>
      <c r="H89" s="5"/>
      <c r="I89" s="45"/>
      <c r="J89" s="5"/>
      <c r="K89" s="24"/>
      <c r="L89" s="5"/>
      <c r="M89" s="45"/>
      <c r="N89" s="5"/>
      <c r="O89" s="24"/>
      <c r="P89" s="5"/>
      <c r="Q89" s="5"/>
      <c r="R89" s="5"/>
    </row>
    <row r="90" spans="2:18" ht="13.5">
      <c r="B90" s="5"/>
      <c r="C90" s="45"/>
      <c r="D90" s="5"/>
      <c r="E90" s="24"/>
      <c r="F90" s="5"/>
      <c r="G90" s="5"/>
      <c r="H90" s="5"/>
      <c r="I90" s="45"/>
      <c r="J90" s="5"/>
      <c r="K90" s="24"/>
      <c r="L90" s="5"/>
      <c r="M90" s="45"/>
      <c r="N90" s="5"/>
      <c r="O90" s="24"/>
      <c r="P90" s="5"/>
      <c r="Q90" s="5"/>
      <c r="R90" s="5"/>
    </row>
    <row r="91" spans="2:18" ht="13.5">
      <c r="B91" s="5"/>
      <c r="C91" s="45"/>
      <c r="D91" s="5"/>
      <c r="E91" s="24"/>
      <c r="F91" s="5"/>
      <c r="G91" s="5"/>
      <c r="H91" s="5"/>
      <c r="I91" s="45"/>
      <c r="J91" s="5"/>
      <c r="K91" s="5"/>
      <c r="L91" s="5"/>
      <c r="M91" s="45"/>
      <c r="N91" s="5"/>
      <c r="O91" s="5"/>
      <c r="P91" s="5"/>
      <c r="Q91" s="5"/>
      <c r="R91" s="5"/>
    </row>
    <row r="92" spans="2:18" ht="13.5">
      <c r="B92" s="5"/>
      <c r="C92" s="45"/>
      <c r="D92" s="5"/>
      <c r="E92" s="24"/>
      <c r="F92" s="5"/>
      <c r="G92" s="5"/>
      <c r="H92" s="5"/>
      <c r="I92" s="45"/>
      <c r="J92" s="5"/>
      <c r="K92" s="5"/>
      <c r="L92" s="5"/>
      <c r="M92" s="45"/>
      <c r="N92" s="5"/>
      <c r="O92" s="5"/>
      <c r="P92" s="5"/>
      <c r="Q92" s="5"/>
      <c r="R92" s="5"/>
    </row>
    <row r="93" spans="2:17" ht="13.5">
      <c r="B93" s="5"/>
      <c r="C93" s="45"/>
      <c r="D93" s="5"/>
      <c r="E93" s="24"/>
      <c r="F93" s="5"/>
      <c r="G93" s="5"/>
      <c r="H93" s="5"/>
      <c r="I93" s="45"/>
      <c r="J93" s="5"/>
      <c r="K93" s="5"/>
      <c r="L93" s="5"/>
      <c r="M93" s="45"/>
      <c r="N93" s="5"/>
      <c r="O93" s="5"/>
      <c r="P93" s="5"/>
      <c r="Q93" s="5"/>
    </row>
    <row r="94" spans="2:17" ht="13.5">
      <c r="B94" s="5"/>
      <c r="C94" s="45"/>
      <c r="D94" s="5"/>
      <c r="E94" s="24"/>
      <c r="F94" s="5"/>
      <c r="G94" s="5"/>
      <c r="H94" s="5"/>
      <c r="I94" s="45"/>
      <c r="J94" s="5"/>
      <c r="K94" s="5"/>
      <c r="L94" s="5"/>
      <c r="M94" s="45"/>
      <c r="N94" s="5"/>
      <c r="O94" s="5"/>
      <c r="P94" s="5"/>
      <c r="Q94" s="5"/>
    </row>
    <row r="95" spans="2:17" ht="13.5">
      <c r="B95" s="5"/>
      <c r="C95" s="45"/>
      <c r="D95" s="5"/>
      <c r="E95" s="24"/>
      <c r="F95" s="5"/>
      <c r="G95" s="5"/>
      <c r="H95" s="5"/>
      <c r="I95" s="45"/>
      <c r="J95" s="5"/>
      <c r="K95" s="5"/>
      <c r="L95" s="5"/>
      <c r="M95" s="45"/>
      <c r="N95" s="5"/>
      <c r="O95" s="5"/>
      <c r="P95" s="5"/>
      <c r="Q95" s="5"/>
    </row>
    <row r="96" spans="2:17" ht="13.5">
      <c r="B96" s="5"/>
      <c r="C96" s="45"/>
      <c r="D96" s="5"/>
      <c r="E96" s="24"/>
      <c r="F96" s="5"/>
      <c r="G96" s="5"/>
      <c r="H96" s="5"/>
      <c r="I96" s="45"/>
      <c r="J96" s="5"/>
      <c r="K96" s="5"/>
      <c r="L96" s="5"/>
      <c r="M96" s="45"/>
      <c r="N96" s="5"/>
      <c r="O96" s="5"/>
      <c r="P96" s="5"/>
      <c r="Q96" s="5"/>
    </row>
    <row r="97" spans="2:17" ht="13.5">
      <c r="B97" s="5"/>
      <c r="C97" s="45"/>
      <c r="D97" s="5"/>
      <c r="E97" s="24"/>
      <c r="F97" s="5"/>
      <c r="G97" s="5"/>
      <c r="H97" s="5"/>
      <c r="I97" s="45"/>
      <c r="J97" s="5"/>
      <c r="K97" s="5"/>
      <c r="L97" s="5"/>
      <c r="M97" s="45"/>
      <c r="N97" s="5"/>
      <c r="O97" s="5"/>
      <c r="P97" s="5"/>
      <c r="Q97" s="5"/>
    </row>
    <row r="98" spans="2:17" ht="13.5">
      <c r="B98" s="5"/>
      <c r="C98" s="45"/>
      <c r="D98" s="5"/>
      <c r="E98" s="24"/>
      <c r="F98" s="5"/>
      <c r="G98" s="5"/>
      <c r="H98" s="5"/>
      <c r="I98" s="45"/>
      <c r="J98" s="5"/>
      <c r="K98" s="5"/>
      <c r="L98" s="5"/>
      <c r="M98" s="45"/>
      <c r="N98" s="5"/>
      <c r="O98" s="5"/>
      <c r="P98" s="5"/>
      <c r="Q98" s="5"/>
    </row>
    <row r="99" spans="2:17" ht="13.5">
      <c r="B99" s="5"/>
      <c r="C99" s="45"/>
      <c r="D99" s="5"/>
      <c r="E99" s="24"/>
      <c r="F99" s="5"/>
      <c r="G99" s="5"/>
      <c r="H99" s="5"/>
      <c r="I99" s="45"/>
      <c r="J99" s="5"/>
      <c r="K99" s="5"/>
      <c r="L99" s="5"/>
      <c r="M99" s="45"/>
      <c r="N99" s="5"/>
      <c r="O99" s="5"/>
      <c r="P99" s="5"/>
      <c r="Q99" s="5"/>
    </row>
    <row r="100" spans="2:17" ht="13.5">
      <c r="B100" s="5"/>
      <c r="C100" s="45"/>
      <c r="D100" s="5"/>
      <c r="E100" s="24"/>
      <c r="F100" s="5"/>
      <c r="G100" s="5"/>
      <c r="H100" s="5"/>
      <c r="I100" s="45"/>
      <c r="J100" s="5"/>
      <c r="K100" s="5"/>
      <c r="L100" s="5"/>
      <c r="M100" s="45"/>
      <c r="N100" s="5"/>
      <c r="O100" s="5"/>
      <c r="P100" s="5"/>
      <c r="Q100" s="5"/>
    </row>
    <row r="101" spans="2:17" ht="13.5">
      <c r="B101" s="5"/>
      <c r="C101" s="45"/>
      <c r="D101" s="5"/>
      <c r="E101" s="24"/>
      <c r="F101" s="5"/>
      <c r="G101" s="5"/>
      <c r="H101" s="5"/>
      <c r="I101" s="45"/>
      <c r="J101" s="5"/>
      <c r="K101" s="5"/>
      <c r="L101" s="5"/>
      <c r="M101" s="45"/>
      <c r="N101" s="5"/>
      <c r="O101" s="5"/>
      <c r="P101" s="5"/>
      <c r="Q101" s="5"/>
    </row>
    <row r="102" spans="2:17" ht="13.5">
      <c r="B102" s="5"/>
      <c r="C102" s="45"/>
      <c r="D102" s="5"/>
      <c r="E102" s="24"/>
      <c r="F102" s="5"/>
      <c r="G102" s="5"/>
      <c r="H102" s="5"/>
      <c r="I102" s="45"/>
      <c r="J102" s="5"/>
      <c r="K102" s="5"/>
      <c r="L102" s="5"/>
      <c r="M102" s="45"/>
      <c r="N102" s="5"/>
      <c r="O102" s="5"/>
      <c r="P102" s="5"/>
      <c r="Q102" s="5"/>
    </row>
    <row r="103" spans="2:17" ht="13.5">
      <c r="B103" s="5"/>
      <c r="C103" s="5"/>
      <c r="D103" s="5"/>
      <c r="E103" s="5"/>
      <c r="F103" s="5"/>
      <c r="G103" s="5"/>
      <c r="H103" s="5"/>
      <c r="I103" s="45"/>
      <c r="J103" s="5"/>
      <c r="K103" s="5"/>
      <c r="L103" s="5"/>
      <c r="M103" s="45"/>
      <c r="N103" s="5"/>
      <c r="O103" s="5"/>
      <c r="P103" s="5"/>
      <c r="Q103" s="5"/>
    </row>
    <row r="104" spans="2:17" ht="13.5">
      <c r="B104" s="5"/>
      <c r="C104" s="5"/>
      <c r="D104" s="5"/>
      <c r="E104" s="5"/>
      <c r="F104" s="5"/>
      <c r="G104" s="5"/>
      <c r="H104" s="5"/>
      <c r="I104" s="45"/>
      <c r="J104" s="5"/>
      <c r="K104" s="5"/>
      <c r="L104" s="5"/>
      <c r="M104" s="45"/>
      <c r="N104" s="5"/>
      <c r="O104" s="5"/>
      <c r="P104" s="5"/>
      <c r="Q104" s="5"/>
    </row>
    <row r="105" spans="2:17" ht="13.5">
      <c r="B105" s="5"/>
      <c r="C105" s="5"/>
      <c r="D105" s="5"/>
      <c r="E105" s="5"/>
      <c r="F105" s="5"/>
      <c r="G105" s="5"/>
      <c r="H105" s="5"/>
      <c r="I105" s="45"/>
      <c r="J105" s="5"/>
      <c r="K105" s="5"/>
      <c r="L105" s="5"/>
      <c r="M105" s="45"/>
      <c r="N105" s="5"/>
      <c r="O105" s="5"/>
      <c r="P105" s="5"/>
      <c r="Q105" s="5"/>
    </row>
    <row r="106" spans="2:17" ht="13.5">
      <c r="B106" s="5"/>
      <c r="C106" s="5"/>
      <c r="D106" s="5"/>
      <c r="E106" s="5"/>
      <c r="F106" s="5"/>
      <c r="G106" s="5"/>
      <c r="H106" s="5"/>
      <c r="I106" s="5"/>
      <c r="J106" s="5"/>
      <c r="K106" s="5"/>
      <c r="L106" s="5"/>
      <c r="M106" s="5"/>
      <c r="N106" s="5"/>
      <c r="O106" s="5"/>
      <c r="P106" s="5"/>
      <c r="Q106" s="5"/>
    </row>
    <row r="107" spans="2:17" ht="13.5">
      <c r="B107" s="5"/>
      <c r="C107" s="5"/>
      <c r="D107" s="5"/>
      <c r="E107" s="5"/>
      <c r="F107" s="5"/>
      <c r="G107" s="5"/>
      <c r="H107" s="5"/>
      <c r="I107" s="5"/>
      <c r="J107" s="5"/>
      <c r="K107" s="5"/>
      <c r="L107" s="5"/>
      <c r="M107" s="5"/>
      <c r="N107" s="5"/>
      <c r="O107" s="5"/>
      <c r="P107" s="5"/>
      <c r="Q107" s="5"/>
    </row>
    <row r="108" spans="2:17" ht="13.5">
      <c r="B108" s="5"/>
      <c r="C108" s="5"/>
      <c r="D108" s="5"/>
      <c r="E108" s="5"/>
      <c r="F108" s="5"/>
      <c r="G108" s="5"/>
      <c r="H108" s="5"/>
      <c r="I108" s="5"/>
      <c r="J108" s="5"/>
      <c r="K108" s="5"/>
      <c r="L108" s="5"/>
      <c r="M108" s="5"/>
      <c r="N108" s="5"/>
      <c r="O108" s="5"/>
      <c r="P108" s="5"/>
      <c r="Q108" s="5"/>
    </row>
    <row r="109" spans="2:17" ht="13.5">
      <c r="B109" s="5"/>
      <c r="C109" s="5"/>
      <c r="D109" s="5"/>
      <c r="E109" s="5"/>
      <c r="F109" s="5"/>
      <c r="G109" s="5"/>
      <c r="H109" s="5"/>
      <c r="I109" s="5"/>
      <c r="J109" s="5"/>
      <c r="K109" s="5"/>
      <c r="L109" s="5"/>
      <c r="M109" s="5"/>
      <c r="N109" s="5"/>
      <c r="O109" s="5"/>
      <c r="P109" s="5"/>
      <c r="Q109" s="5"/>
    </row>
    <row r="110" spans="2:17" ht="13.5">
      <c r="B110" s="5"/>
      <c r="C110" s="5"/>
      <c r="D110" s="5"/>
      <c r="E110" s="5"/>
      <c r="F110" s="5"/>
      <c r="G110" s="5"/>
      <c r="H110" s="5"/>
      <c r="I110" s="5"/>
      <c r="J110" s="5"/>
      <c r="K110" s="5"/>
      <c r="L110" s="5"/>
      <c r="M110" s="5"/>
      <c r="N110" s="5"/>
      <c r="O110" s="5"/>
      <c r="P110" s="5"/>
      <c r="Q110" s="5"/>
    </row>
    <row r="111" spans="2:17" ht="13.5">
      <c r="B111" s="5"/>
      <c r="C111" s="5"/>
      <c r="D111" s="5"/>
      <c r="E111" s="5"/>
      <c r="F111" s="5"/>
      <c r="G111" s="5"/>
      <c r="H111" s="5"/>
      <c r="I111" s="5"/>
      <c r="J111" s="5"/>
      <c r="K111" s="5"/>
      <c r="L111" s="5"/>
      <c r="M111" s="5"/>
      <c r="N111" s="5"/>
      <c r="O111" s="5"/>
      <c r="P111" s="5"/>
      <c r="Q111" s="5"/>
    </row>
    <row r="112" spans="2:17" ht="13.5">
      <c r="B112" s="5"/>
      <c r="C112" s="5"/>
      <c r="D112" s="5"/>
      <c r="E112" s="5"/>
      <c r="F112" s="5"/>
      <c r="G112" s="5"/>
      <c r="H112" s="5"/>
      <c r="I112" s="5"/>
      <c r="J112" s="5"/>
      <c r="K112" s="5"/>
      <c r="L112" s="5"/>
      <c r="M112" s="5"/>
      <c r="N112" s="5"/>
      <c r="O112" s="5"/>
      <c r="P112" s="5"/>
      <c r="Q112" s="5"/>
    </row>
    <row r="113" spans="2:17" ht="13.5">
      <c r="B113" s="5"/>
      <c r="C113" s="5"/>
      <c r="D113" s="5"/>
      <c r="E113" s="5"/>
      <c r="F113" s="5"/>
      <c r="G113" s="5"/>
      <c r="H113" s="5"/>
      <c r="I113" s="5"/>
      <c r="J113" s="5"/>
      <c r="K113" s="5"/>
      <c r="L113" s="5"/>
      <c r="M113" s="5"/>
      <c r="N113" s="5"/>
      <c r="O113" s="5"/>
      <c r="P113" s="5"/>
      <c r="Q113" s="5"/>
    </row>
    <row r="114" spans="2:17" ht="13.5">
      <c r="B114" s="5"/>
      <c r="C114" s="46"/>
      <c r="D114" s="47"/>
      <c r="E114" s="5"/>
      <c r="F114" s="5"/>
      <c r="G114" s="5"/>
      <c r="H114" s="5"/>
      <c r="I114" s="5"/>
      <c r="J114" s="5"/>
      <c r="K114" s="45"/>
      <c r="L114" s="5"/>
      <c r="M114" s="5"/>
      <c r="N114" s="5"/>
      <c r="O114" s="45"/>
      <c r="P114" s="5"/>
      <c r="Q114" s="24"/>
    </row>
    <row r="115" spans="3:15" ht="13.5">
      <c r="C115" s="48"/>
      <c r="K115" s="9"/>
      <c r="O115" s="9"/>
    </row>
    <row r="116" spans="3:15" ht="13.5">
      <c r="C116" s="48"/>
      <c r="K116" s="9"/>
      <c r="O116" s="9"/>
    </row>
    <row r="117" spans="3:15" ht="13.5">
      <c r="C117" s="48"/>
      <c r="K117" s="9"/>
      <c r="O117" s="9"/>
    </row>
    <row r="118" spans="3:15" ht="13.5">
      <c r="C118" s="48"/>
      <c r="K118" s="9"/>
      <c r="O118" s="9"/>
    </row>
    <row r="119" spans="3:15" ht="13.5">
      <c r="C119" s="48"/>
      <c r="K119" s="9"/>
      <c r="O119" s="9"/>
    </row>
    <row r="120" spans="3:15" ht="13.5">
      <c r="C120" s="48"/>
      <c r="K120" s="9"/>
      <c r="O120" s="9"/>
    </row>
    <row r="121" spans="3:15" ht="13.5">
      <c r="C121" s="48"/>
      <c r="K121" s="9"/>
      <c r="O121" s="9"/>
    </row>
    <row r="122" spans="3:15" ht="13.5">
      <c r="C122" s="48"/>
      <c r="K122" s="9"/>
      <c r="O122" s="9"/>
    </row>
    <row r="123" spans="11:15" ht="13.5">
      <c r="K123" s="9"/>
      <c r="O123" s="9"/>
    </row>
    <row r="124" spans="11:15" ht="13.5">
      <c r="K124" s="9"/>
      <c r="O124" s="9"/>
    </row>
    <row r="125" spans="11:15" ht="13.5">
      <c r="K125" s="9"/>
      <c r="O125" s="9"/>
    </row>
    <row r="126" spans="11:15" ht="13.5">
      <c r="K126" s="9"/>
      <c r="O126" s="9"/>
    </row>
    <row r="127" spans="11:15" ht="13.5">
      <c r="K127" s="9"/>
      <c r="O127" s="9"/>
    </row>
  </sheetData>
  <sheetProtection selectLockedCells="1"/>
  <mergeCells count="37">
    <mergeCell ref="E12:E16"/>
    <mergeCell ref="F12:F16"/>
    <mergeCell ref="M11:P11"/>
    <mergeCell ref="M12:M16"/>
    <mergeCell ref="N12:N16"/>
    <mergeCell ref="O12:P12"/>
    <mergeCell ref="O13:O16"/>
    <mergeCell ref="P13:P16"/>
    <mergeCell ref="E11:H11"/>
    <mergeCell ref="B71:C71"/>
    <mergeCell ref="B66:C66"/>
    <mergeCell ref="B67:C67"/>
    <mergeCell ref="B68:C68"/>
    <mergeCell ref="B69:C69"/>
    <mergeCell ref="B3:B4"/>
    <mergeCell ref="B28:B29"/>
    <mergeCell ref="B64:C64"/>
    <mergeCell ref="B27:C27"/>
    <mergeCell ref="B30:B33"/>
    <mergeCell ref="B34:B41"/>
    <mergeCell ref="B42:B55"/>
    <mergeCell ref="G12:H12"/>
    <mergeCell ref="G13:G16"/>
    <mergeCell ref="B65:C65"/>
    <mergeCell ref="B70:C70"/>
    <mergeCell ref="B18:B19"/>
    <mergeCell ref="B20:B23"/>
    <mergeCell ref="B24:B26"/>
    <mergeCell ref="B56:B63"/>
    <mergeCell ref="G5:L5"/>
    <mergeCell ref="I11:L11"/>
    <mergeCell ref="I12:I16"/>
    <mergeCell ref="J12:J16"/>
    <mergeCell ref="K12:L12"/>
    <mergeCell ref="K13:K16"/>
    <mergeCell ref="L13:L16"/>
    <mergeCell ref="H13:H16"/>
  </mergeCells>
  <dataValidations count="2">
    <dataValidation allowBlank="1" showInputMessage="1" showErrorMessage="1" imeMode="off" sqref="C7"/>
    <dataValidation type="whole" allowBlank="1" showInputMessage="1" showErrorMessage="1" error="セルに整数以外の値が入力されています。" sqref="E18:P71">
      <formula1>0</formula1>
      <formula2>9999999999</formula2>
    </dataValidation>
  </dataValidations>
  <printOptions/>
  <pageMargins left="0.984251968503937" right="0.3937007874015748" top="0.4724409448818898" bottom="0.1968503937007874" header="0.3937007874015748" footer="0.15748031496062992"/>
  <pageSetup fitToHeight="1" fitToWidth="1" horizontalDpi="600" verticalDpi="600" orientation="portrait" paperSize="9" scale="32" r:id="rId3"/>
  <ignoredErrors>
    <ignoredError sqref="E17:H17"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26"/>
  <sheetViews>
    <sheetView showGridLines="0" zoomScalePageLayoutView="0" workbookViewId="0" topLeftCell="A1">
      <selection activeCell="B1" sqref="B1"/>
    </sheetView>
  </sheetViews>
  <sheetFormatPr defaultColWidth="9.00390625" defaultRowHeight="13.5"/>
  <cols>
    <col min="1" max="1" width="2.375" style="3" customWidth="1"/>
    <col min="2" max="2" width="11.125" style="3"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4" width="11.125" style="3" customWidth="1"/>
    <col min="15" max="16" width="14.375" style="3" customWidth="1"/>
    <col min="17" max="17" width="9.25390625" style="17" bestFit="1" customWidth="1"/>
    <col min="18" max="16384" width="9.00390625" style="3" customWidth="1"/>
  </cols>
  <sheetData>
    <row r="1" spans="1:17" s="73" customFormat="1" ht="13.5">
      <c r="A1" s="73" t="str">
        <f>A107&amp;A108&amp;A109&amp;A110&amp;A111&amp;A112</f>
        <v>30001800000000000000100000000010000133660000001485200000000000000000000000000000000000000000000000001000000000100000904990000010056000000000600000000060002133688000003720000000000000000000000000000000000000000000000000004000000000400007830890000018600000000002400000000240001248403000005189700000000000000000000000000000000000000000000000013000000001300001339030000007742000000000900000000090001263105000005580000000000000000000000000000000000000000000000000005000000000500000497770000000000000000000000000000000000000000000000000000000000000000000000000000000000000000000000000000000000000000000000000000000000000000000000000000000000000000000000000000000000000000000000000000000000000000000000000000000000000000000000000000000000000000000900000000090004202493000007440000000000000000000000000000000000000000000000000000000000000000000000000000000000000000000100000000010001136576000000000000000000000000000000000000000000000000000000000002000000000200001042120000000000000000000700000000070002581837000007440000000000000000000000000000000000000000000000000004000000000400002835360000020969000000001000000000100000058292000000160600000000000000000000000000000000000000000000000001000000000100000031000000000000000000000000000000000000000000000000000000000000000000000000000000000000000000000000000000000000000000000000000000000000000000000300000000030000250734000000864600000000000000000000000000000000000000000000000000000000000000000000000000000000000000000400000000040000109735000000590600000000000000000000000000000000000000000000000000000000000000000000000000000000000000000400000000040000084656000000358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5841000000000000000000000000000000000000000000000000000000000001000000000100000111710000000000000000001100000000110000573249000000961200000000000000000000000000000000000000000000000006000000000600001070900000010714000000000100000000010000058478000000000000000000000000000000000000000000000000000000000000000000000000000000000000000000000000001300000000130001000165000006477300000000000000000000000000000000000000000000000016000000001600003978950000031546000000000000000000000000000000000000000000000000000000000000000000000000000000000000000000000000000000000000000000000000000000000000000000000000000000000000000000000000000000000000000000000000000000000000000001000000000100000047160000000524000000000000000000000000000000000000000000000000000000000000000000000000000000000000000000000000000000000000000000000000000000000000000000000000000000000000000000000000000000000000000000000000000000000000000000000000000000000000000000000000000000001300000000130002495554000013062900000000000000000000000000000000000000000000000025000000002500010155670000066945000000000000000000000000000000000000000000000000000000000000000000000000000000000000000000000000000000000000000000000000000000000000000000000000000000000000000000000000000000000000000000000000000000000000000001000000000100000236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9204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075876900000251010000000000000000000000000000000000000000000000000400000000040000255991000001994600000000010000000001000024664600000000000000000000000000000000000000000000000000000000000000000000000000000000000000000000000000020000000002000048422100000372000000000000000000000000000000000000000000000000000000000000000000000000000000000000000000030000000003000043120000000200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651824000000000000000000000000000000000000000000000000000000000001000000000100002086400000000000000000000000000000000000000000000000000000000000000000000000000000000000000000000000000001000000000100000108000000000000000000000000000000000000000000000000000000000000000000000000000000000000000000000000000000000000000000000000000000000000000000000000000000000000000000000000000000000000000000000000000000000000000000000000000000000000000000000000000000000000000000000100000000010000846469000000000000000000000000000000000000000000000000000000000000000000000000000000000000000000000000000000000000000000000000000000000000000000000000000000000000000000000000000000000000000000000000000000000000000000000000000200000000020000144665000000792300000000000000000000000000000000000000000000000002000000000200000815920000000000000000000000000000000000000000000000000000000000000000000000000000000000000000000000000000000000000000000000000000000000000000000000000000000000000000000000000000000000000000000000000000000000000000000000000000000000000000000000000000000000000000000200000000020000014136000000074400000000000000000000000000000000000000000000000000000000000000000000000000000000000000000000000000000000000000000000000000000000000000000000000000000000000000000000000000000000000000000000000000000000000000000600000000060000046950000000335400000000000000000000000000000000000000000000000000000000000000000000000000000000000000000100000000010000618320000000000000000000000000000000000000000000000000000000000000000000000000000000000000000000000000014200000001420021901712000062772700000000000000000000000000000000000000000000000088000000008800035652620000187042</v>
      </c>
      <c r="D1" s="74"/>
      <c r="Q1" s="75"/>
    </row>
    <row r="2" ht="14.25">
      <c r="A2" s="2" t="s">
        <v>18</v>
      </c>
    </row>
    <row r="3" spans="7:17" ht="18.75">
      <c r="G3" s="18" t="s">
        <v>45</v>
      </c>
      <c r="O3" s="4" t="s">
        <v>20</v>
      </c>
      <c r="Q3" s="3"/>
    </row>
    <row r="4" spans="3:17" ht="13.5">
      <c r="C4" s="19"/>
      <c r="K4" s="6"/>
      <c r="O4" s="6" t="s">
        <v>0</v>
      </c>
      <c r="Q4" s="3"/>
    </row>
    <row r="5" spans="7:17" ht="14.25">
      <c r="G5" s="1" t="s">
        <v>97</v>
      </c>
      <c r="K5" s="6"/>
      <c r="L5" s="49"/>
      <c r="O5" s="6" t="s">
        <v>54</v>
      </c>
      <c r="P5" s="49">
        <f>IF(ISERROR(IF(OR($C$6="",$C$6=" ",$C$6="  "),"",VLOOKUP($C$6,#REF!,2,"FALSE")))=TRUE,"",IF(OR($C$6="",$C$6=" ",$C$6="  "),"",VLOOKUP($C$6,#REF!,2,"FALSE")))</f>
      </c>
      <c r="Q5" s="3"/>
    </row>
    <row r="6" spans="2:17" ht="14.25">
      <c r="B6" s="21" t="str">
        <f>TEXT('１８表'!B7,"0000000")</f>
        <v>3000180</v>
      </c>
      <c r="C6" s="21" t="str">
        <f>TEXT('１８表'!C7,"0000")</f>
        <v>0000</v>
      </c>
      <c r="D6" s="22"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6"/>
      <c r="L6" s="109"/>
      <c r="O6" s="8" t="s">
        <v>13</v>
      </c>
      <c r="P6" s="20"/>
      <c r="Q6" s="5"/>
    </row>
    <row r="7" spans="2:17" ht="13.5">
      <c r="B7" s="50" t="s">
        <v>22</v>
      </c>
      <c r="C7" s="50" t="s">
        <v>53</v>
      </c>
      <c r="D7" s="22"/>
      <c r="E7" s="22"/>
      <c r="K7" s="110"/>
      <c r="L7" s="5"/>
      <c r="O7" s="59" t="str">
        <f>"平成      "&amp;WIDECHAR(LEFTB(B6,2))&amp;"     年度分報告"</f>
        <v>平成      ３０     年度分報告</v>
      </c>
      <c r="P7" s="23"/>
      <c r="Q7" s="5"/>
    </row>
    <row r="8" spans="7:17" ht="13.5">
      <c r="G8" s="25">
        <f>CONCATENATE(H4)</f>
      </c>
      <c r="Q8" s="24"/>
    </row>
    <row r="9" spans="2:3" ht="14.25">
      <c r="B9" s="1"/>
      <c r="C9" s="1"/>
    </row>
    <row r="10" spans="2:16" ht="18" customHeight="1">
      <c r="B10" s="26"/>
      <c r="C10" s="27"/>
      <c r="D10" s="28"/>
      <c r="E10" s="11"/>
      <c r="F10" s="12" t="s">
        <v>113</v>
      </c>
      <c r="G10" s="12" t="s">
        <v>114</v>
      </c>
      <c r="H10" s="13"/>
      <c r="I10" s="11"/>
      <c r="J10" s="12" t="s">
        <v>106</v>
      </c>
      <c r="K10" s="12" t="s">
        <v>108</v>
      </c>
      <c r="L10" s="13" t="s">
        <v>107</v>
      </c>
      <c r="M10" s="11"/>
      <c r="N10" s="12" t="s">
        <v>23</v>
      </c>
      <c r="O10" s="12" t="s">
        <v>55</v>
      </c>
      <c r="P10" s="13"/>
    </row>
    <row r="11" spans="2:16" ht="18" customHeight="1">
      <c r="B11" s="29"/>
      <c r="C11" s="30"/>
      <c r="D11" s="31"/>
      <c r="E11" s="10"/>
      <c r="F11" s="10"/>
      <c r="G11" s="32" t="s">
        <v>24</v>
      </c>
      <c r="H11" s="33" t="s">
        <v>25</v>
      </c>
      <c r="I11" s="10"/>
      <c r="J11" s="10"/>
      <c r="K11" s="32" t="s">
        <v>24</v>
      </c>
      <c r="L11" s="33" t="s">
        <v>25</v>
      </c>
      <c r="M11" s="10"/>
      <c r="N11" s="10"/>
      <c r="O11" s="32" t="s">
        <v>24</v>
      </c>
      <c r="P11" s="33" t="s">
        <v>25</v>
      </c>
    </row>
    <row r="12" spans="2:16" ht="14.25">
      <c r="B12" s="29"/>
      <c r="C12" s="30"/>
      <c r="D12" s="31"/>
      <c r="E12" s="14"/>
      <c r="F12" s="14"/>
      <c r="G12" s="149" t="s">
        <v>94</v>
      </c>
      <c r="H12" s="10"/>
      <c r="I12" s="14"/>
      <c r="J12" s="14"/>
      <c r="K12" s="149" t="s">
        <v>94</v>
      </c>
      <c r="L12" s="10"/>
      <c r="M12" s="14"/>
      <c r="N12" s="14"/>
      <c r="O12" s="149" t="s">
        <v>94</v>
      </c>
      <c r="P12" s="10"/>
    </row>
    <row r="13" spans="2:16" ht="14.25">
      <c r="B13" s="29"/>
      <c r="C13" s="30"/>
      <c r="D13" s="31"/>
      <c r="E13" s="34" t="s">
        <v>26</v>
      </c>
      <c r="F13" s="34" t="s">
        <v>27</v>
      </c>
      <c r="G13" s="150"/>
      <c r="H13" s="34" t="s">
        <v>28</v>
      </c>
      <c r="I13" s="34" t="s">
        <v>105</v>
      </c>
      <c r="J13" s="34" t="s">
        <v>27</v>
      </c>
      <c r="K13" s="150"/>
      <c r="L13" s="34" t="s">
        <v>28</v>
      </c>
      <c r="M13" s="34" t="s">
        <v>26</v>
      </c>
      <c r="N13" s="34" t="s">
        <v>27</v>
      </c>
      <c r="O13" s="150"/>
      <c r="P13" s="34" t="s">
        <v>28</v>
      </c>
    </row>
    <row r="14" spans="2:16" ht="14.25">
      <c r="B14" s="29"/>
      <c r="C14" s="30"/>
      <c r="D14" s="31"/>
      <c r="E14" s="14"/>
      <c r="F14" s="14"/>
      <c r="G14" s="150"/>
      <c r="H14" s="34" t="s">
        <v>29</v>
      </c>
      <c r="I14" s="14"/>
      <c r="J14" s="14"/>
      <c r="K14" s="150"/>
      <c r="L14" s="34" t="s">
        <v>29</v>
      </c>
      <c r="M14" s="14"/>
      <c r="N14" s="14"/>
      <c r="O14" s="150"/>
      <c r="P14" s="34" t="s">
        <v>29</v>
      </c>
    </row>
    <row r="15" spans="2:16" ht="36" customHeight="1">
      <c r="B15" s="29"/>
      <c r="C15" s="30"/>
      <c r="D15" s="31"/>
      <c r="E15" s="14"/>
      <c r="F15" s="14"/>
      <c r="G15" s="150"/>
      <c r="H15" s="14"/>
      <c r="I15" s="14"/>
      <c r="J15" s="14"/>
      <c r="K15" s="150"/>
      <c r="L15" s="14"/>
      <c r="M15" s="14"/>
      <c r="N15" s="14"/>
      <c r="O15" s="150"/>
      <c r="P15" s="14"/>
    </row>
    <row r="16" spans="2:17" s="35" customFormat="1" ht="13.5">
      <c r="B16" s="36"/>
      <c r="C16" s="37"/>
      <c r="D16" s="38"/>
      <c r="E16" s="16" t="s">
        <v>56</v>
      </c>
      <c r="F16" s="16" t="s">
        <v>19</v>
      </c>
      <c r="G16" s="16" t="s">
        <v>1</v>
      </c>
      <c r="H16" s="16" t="s">
        <v>2</v>
      </c>
      <c r="I16" s="16" t="s">
        <v>14</v>
      </c>
      <c r="J16" s="16" t="s">
        <v>15</v>
      </c>
      <c r="K16" s="16" t="s">
        <v>16</v>
      </c>
      <c r="L16" s="16" t="s">
        <v>17</v>
      </c>
      <c r="M16" s="16" t="s">
        <v>109</v>
      </c>
      <c r="N16" s="16" t="s">
        <v>110</v>
      </c>
      <c r="O16" s="16" t="s">
        <v>111</v>
      </c>
      <c r="P16" s="16" t="s">
        <v>112</v>
      </c>
      <c r="Q16" s="39"/>
    </row>
    <row r="17" spans="2:17" s="40" customFormat="1" ht="19.5" customHeight="1">
      <c r="B17" s="137" t="s">
        <v>60</v>
      </c>
      <c r="C17" s="80" t="s">
        <v>30</v>
      </c>
      <c r="D17" s="85" t="s">
        <v>31</v>
      </c>
      <c r="E17" s="60" t="str">
        <f>TEXT('１８表'!E18,"0000000000")</f>
        <v>0000000001</v>
      </c>
      <c r="F17" s="60" t="str">
        <f>TEXT('１８表'!F18,"0000000000")</f>
        <v>0000000001</v>
      </c>
      <c r="G17" s="60" t="str">
        <f>TEXT('１８表'!G18,"0000000000")</f>
        <v>0000133660</v>
      </c>
      <c r="H17" s="60" t="str">
        <f>TEXT('１８表'!H18,"0000000000")</f>
        <v>0000014852</v>
      </c>
      <c r="I17" s="60" t="str">
        <f>TEXT('１８表'!I18,"0000000000")</f>
        <v>0000000000</v>
      </c>
      <c r="J17" s="60" t="str">
        <f>TEXT('１８表'!J18,"0000000000")</f>
        <v>0000000000</v>
      </c>
      <c r="K17" s="60" t="str">
        <f>TEXT('１８表'!K18,"0000000000")</f>
        <v>0000000000</v>
      </c>
      <c r="L17" s="60" t="str">
        <f>TEXT('１８表'!L18,"0000000000")</f>
        <v>0000000000</v>
      </c>
      <c r="M17" s="60" t="str">
        <f>TEXT('１８表'!M18,"0000000000")</f>
        <v>0000000001</v>
      </c>
      <c r="N17" s="60" t="str">
        <f>TEXT('１８表'!N18,"0000000000")</f>
        <v>0000000001</v>
      </c>
      <c r="O17" s="60" t="str">
        <f>TEXT('１８表'!O18,"0000000000")</f>
        <v>0000090499</v>
      </c>
      <c r="P17" s="60" t="str">
        <f>TEXT('１８表'!P18,"0000000000")</f>
        <v>0000010056</v>
      </c>
      <c r="Q17" s="19">
        <f>IF(D17&gt;=1,IF(OR(E17&gt;=1,F17&gt;=1),"","表側(01)の(3)、(4)のいずれかに計上数を入力してください！"),"")&amp;IF(H17&gt;=1,IF(OR(M17&gt;=1,N17&gt;=1),"","表側(01)の(7)、(8)のいずれかに計上数を入力してください！"),"")</f>
      </c>
    </row>
    <row r="18" spans="2:17" ht="19.5" customHeight="1">
      <c r="B18" s="139"/>
      <c r="C18" s="80" t="s">
        <v>32</v>
      </c>
      <c r="D18" s="85" t="s">
        <v>3</v>
      </c>
      <c r="E18" s="60" t="str">
        <f>TEXT('１８表'!E19,"0000000000")</f>
        <v>0000000006</v>
      </c>
      <c r="F18" s="60" t="str">
        <f>TEXT('１８表'!F19,"0000000000")</f>
        <v>0000000006</v>
      </c>
      <c r="G18" s="60" t="str">
        <f>TEXT('１８表'!G19,"0000000000")</f>
        <v>0002133688</v>
      </c>
      <c r="H18" s="60" t="str">
        <f>TEXT('１８表'!H19,"0000000000")</f>
        <v>0000037200</v>
      </c>
      <c r="I18" s="60" t="str">
        <f>TEXT('１８表'!I19,"0000000000")</f>
        <v>0000000000</v>
      </c>
      <c r="J18" s="60" t="str">
        <f>TEXT('１８表'!J19,"0000000000")</f>
        <v>0000000000</v>
      </c>
      <c r="K18" s="60" t="str">
        <f>TEXT('１８表'!K19,"0000000000")</f>
        <v>0000000000</v>
      </c>
      <c r="L18" s="60" t="str">
        <f>TEXT('１８表'!L19,"0000000000")</f>
        <v>0000000000</v>
      </c>
      <c r="M18" s="60" t="str">
        <f>TEXT('１８表'!M19,"0000000000")</f>
        <v>0000000004</v>
      </c>
      <c r="N18" s="60" t="str">
        <f>TEXT('１８表'!N19,"0000000000")</f>
        <v>0000000004</v>
      </c>
      <c r="O18" s="60" t="str">
        <f>TEXT('１８表'!O19,"0000000000")</f>
        <v>0000783089</v>
      </c>
      <c r="P18" s="60" t="str">
        <f>TEXT('１８表'!P19,"0000000000")</f>
        <v>0000018600</v>
      </c>
      <c r="Q18" s="19">
        <f aca="true" t="shared" si="0" ref="Q18:Q70">IF(D18&gt;=1,IF(OR(E18&gt;=1,F18&gt;=1),"","表側(01)の(3)、(4)のいずれかに計上数を入力してください！"),"")&amp;IF(H18&gt;=1,IF(OR(M18&gt;=1,N18&gt;=1),"","表側(01)の(7)、(8)のいずれかに計上数を入力してください！"),"")</f>
      </c>
    </row>
    <row r="19" spans="2:17" ht="19.5" customHeight="1">
      <c r="B19" s="137" t="s">
        <v>61</v>
      </c>
      <c r="C19" s="80" t="s">
        <v>33</v>
      </c>
      <c r="D19" s="85" t="s">
        <v>4</v>
      </c>
      <c r="E19" s="60" t="str">
        <f>TEXT('１８表'!E20,"0000000000")</f>
        <v>0000000024</v>
      </c>
      <c r="F19" s="60" t="str">
        <f>TEXT('１８表'!F20,"0000000000")</f>
        <v>0000000024</v>
      </c>
      <c r="G19" s="60" t="str">
        <f>TEXT('１８表'!G20,"0000000000")</f>
        <v>0001248403</v>
      </c>
      <c r="H19" s="60" t="str">
        <f>TEXT('１８表'!H20,"0000000000")</f>
        <v>0000051897</v>
      </c>
      <c r="I19" s="60" t="str">
        <f>TEXT('１８表'!I20,"0000000000")</f>
        <v>0000000000</v>
      </c>
      <c r="J19" s="60" t="str">
        <f>TEXT('１８表'!J20,"0000000000")</f>
        <v>0000000000</v>
      </c>
      <c r="K19" s="60" t="str">
        <f>TEXT('１８表'!K20,"0000000000")</f>
        <v>0000000000</v>
      </c>
      <c r="L19" s="60" t="str">
        <f>TEXT('１８表'!L20,"0000000000")</f>
        <v>0000000000</v>
      </c>
      <c r="M19" s="60" t="str">
        <f>TEXT('１８表'!M20,"0000000000")</f>
        <v>0000000013</v>
      </c>
      <c r="N19" s="60" t="str">
        <f>TEXT('１８表'!N20,"0000000000")</f>
        <v>0000000013</v>
      </c>
      <c r="O19" s="60" t="str">
        <f>TEXT('１８表'!O20,"0000000000")</f>
        <v>0000133903</v>
      </c>
      <c r="P19" s="60" t="str">
        <f>TEXT('１８表'!P20,"0000000000")</f>
        <v>0000007742</v>
      </c>
      <c r="Q19" s="19">
        <f t="shared" si="0"/>
      </c>
    </row>
    <row r="20" spans="2:17" ht="19.5" customHeight="1">
      <c r="B20" s="138"/>
      <c r="C20" s="80" t="s">
        <v>34</v>
      </c>
      <c r="D20" s="85" t="s">
        <v>5</v>
      </c>
      <c r="E20" s="60" t="str">
        <f>TEXT('１８表'!E21,"0000000000")</f>
        <v>0000000009</v>
      </c>
      <c r="F20" s="60" t="str">
        <f>TEXT('１８表'!F21,"0000000000")</f>
        <v>0000000009</v>
      </c>
      <c r="G20" s="60" t="str">
        <f>TEXT('１８表'!G21,"0000000000")</f>
        <v>0001263105</v>
      </c>
      <c r="H20" s="60" t="str">
        <f>TEXT('１８表'!H21,"0000000000")</f>
        <v>0000055800</v>
      </c>
      <c r="I20" s="60" t="str">
        <f>TEXT('１８表'!I21,"0000000000")</f>
        <v>0000000000</v>
      </c>
      <c r="J20" s="60" t="str">
        <f>TEXT('１８表'!J21,"0000000000")</f>
        <v>0000000000</v>
      </c>
      <c r="K20" s="60" t="str">
        <f>TEXT('１８表'!K21,"0000000000")</f>
        <v>0000000000</v>
      </c>
      <c r="L20" s="60" t="str">
        <f>TEXT('１８表'!L21,"0000000000")</f>
        <v>0000000000</v>
      </c>
      <c r="M20" s="60" t="str">
        <f>TEXT('１８表'!M21,"0000000000")</f>
        <v>0000000005</v>
      </c>
      <c r="N20" s="60" t="str">
        <f>TEXT('１８表'!N21,"0000000000")</f>
        <v>0000000005</v>
      </c>
      <c r="O20" s="60" t="str">
        <f>TEXT('１８表'!O21,"0000000000")</f>
        <v>0000049777</v>
      </c>
      <c r="P20" s="60" t="str">
        <f>TEXT('１８表'!P21,"0000000000")</f>
        <v>0000000000</v>
      </c>
      <c r="Q20" s="19">
        <f t="shared" si="0"/>
      </c>
    </row>
    <row r="21" spans="2:17" ht="19.5" customHeight="1">
      <c r="B21" s="138"/>
      <c r="C21" s="80" t="s">
        <v>35</v>
      </c>
      <c r="D21" s="85" t="s">
        <v>6</v>
      </c>
      <c r="E21" s="60" t="str">
        <f>TEXT('１８表'!E22,"0000000000")</f>
        <v>0000000000</v>
      </c>
      <c r="F21" s="60" t="str">
        <f>TEXT('１８表'!F22,"0000000000")</f>
        <v>0000000000</v>
      </c>
      <c r="G21" s="60" t="str">
        <f>TEXT('１８表'!G22,"0000000000")</f>
        <v>0000000000</v>
      </c>
      <c r="H21" s="60" t="str">
        <f>TEXT('１８表'!H22,"0000000000")</f>
        <v>0000000000</v>
      </c>
      <c r="I21" s="60" t="str">
        <f>TEXT('１８表'!I22,"0000000000")</f>
        <v>0000000000</v>
      </c>
      <c r="J21" s="60" t="str">
        <f>TEXT('１８表'!J22,"0000000000")</f>
        <v>0000000000</v>
      </c>
      <c r="K21" s="60" t="str">
        <f>TEXT('１８表'!K22,"0000000000")</f>
        <v>0000000000</v>
      </c>
      <c r="L21" s="60" t="str">
        <f>TEXT('１８表'!L22,"0000000000")</f>
        <v>0000000000</v>
      </c>
      <c r="M21" s="60" t="str">
        <f>TEXT('１８表'!M22,"0000000000")</f>
        <v>0000000000</v>
      </c>
      <c r="N21" s="60" t="str">
        <f>TEXT('１８表'!N22,"0000000000")</f>
        <v>0000000000</v>
      </c>
      <c r="O21" s="60" t="str">
        <f>TEXT('１８表'!O22,"0000000000")</f>
        <v>0000000000</v>
      </c>
      <c r="P21" s="60" t="str">
        <f>TEXT('１８表'!P22,"0000000000")</f>
        <v>0000000000</v>
      </c>
      <c r="Q21" s="19">
        <f t="shared" si="0"/>
      </c>
    </row>
    <row r="22" spans="2:17" ht="19.5" customHeight="1">
      <c r="B22" s="139"/>
      <c r="C22" s="80" t="s">
        <v>36</v>
      </c>
      <c r="D22" s="85" t="s">
        <v>7</v>
      </c>
      <c r="E22" s="60" t="str">
        <f>TEXT('１８表'!E23,"0000000000")</f>
        <v>0000000000</v>
      </c>
      <c r="F22" s="60" t="str">
        <f>TEXT('１８表'!F23,"0000000000")</f>
        <v>0000000000</v>
      </c>
      <c r="G22" s="60" t="str">
        <f>TEXT('１８表'!G23,"0000000000")</f>
        <v>0000000000</v>
      </c>
      <c r="H22" s="60" t="str">
        <f>TEXT('１８表'!H23,"0000000000")</f>
        <v>0000000000</v>
      </c>
      <c r="I22" s="60" t="str">
        <f>TEXT('１８表'!I23,"0000000000")</f>
        <v>0000000000</v>
      </c>
      <c r="J22" s="60" t="str">
        <f>TEXT('１８表'!J23,"0000000000")</f>
        <v>0000000000</v>
      </c>
      <c r="K22" s="60" t="str">
        <f>TEXT('１８表'!K23,"0000000000")</f>
        <v>0000000000</v>
      </c>
      <c r="L22" s="60" t="str">
        <f>TEXT('１８表'!L23,"0000000000")</f>
        <v>0000000000</v>
      </c>
      <c r="M22" s="60" t="str">
        <f>TEXT('１８表'!M23,"0000000000")</f>
        <v>0000000000</v>
      </c>
      <c r="N22" s="60" t="str">
        <f>TEXT('１８表'!N23,"0000000000")</f>
        <v>0000000000</v>
      </c>
      <c r="O22" s="60" t="str">
        <f>TEXT('１８表'!O23,"0000000000")</f>
        <v>0000000000</v>
      </c>
      <c r="P22" s="60" t="str">
        <f>TEXT('１８表'!P23,"0000000000")</f>
        <v>0000000000</v>
      </c>
      <c r="Q22" s="19">
        <f t="shared" si="0"/>
      </c>
    </row>
    <row r="23" spans="2:17" ht="19.5" customHeight="1">
      <c r="B23" s="145" t="s">
        <v>78</v>
      </c>
      <c r="C23" s="83" t="s">
        <v>98</v>
      </c>
      <c r="D23" s="85" t="s">
        <v>8</v>
      </c>
      <c r="E23" s="60" t="str">
        <f>TEXT('１８表'!E24,"0000000000")</f>
        <v>0000000009</v>
      </c>
      <c r="F23" s="60" t="str">
        <f>TEXT('１８表'!F24,"0000000000")</f>
        <v>0000000009</v>
      </c>
      <c r="G23" s="60" t="str">
        <f>TEXT('１８表'!G24,"0000000000")</f>
        <v>0004202493</v>
      </c>
      <c r="H23" s="60" t="str">
        <f>TEXT('１８表'!H24,"0000000000")</f>
        <v>0000074400</v>
      </c>
      <c r="I23" s="60" t="str">
        <f>TEXT('１８表'!I24,"0000000000")</f>
        <v>0000000000</v>
      </c>
      <c r="J23" s="60" t="str">
        <f>TEXT('１８表'!J24,"0000000000")</f>
        <v>0000000000</v>
      </c>
      <c r="K23" s="60" t="str">
        <f>TEXT('１８表'!K24,"0000000000")</f>
        <v>0000000000</v>
      </c>
      <c r="L23" s="60" t="str">
        <f>TEXT('１８表'!L24,"0000000000")</f>
        <v>0000000000</v>
      </c>
      <c r="M23" s="60" t="str">
        <f>TEXT('１８表'!M24,"0000000000")</f>
        <v>0000000000</v>
      </c>
      <c r="N23" s="60" t="str">
        <f>TEXT('１８表'!N24,"0000000000")</f>
        <v>0000000000</v>
      </c>
      <c r="O23" s="60" t="str">
        <f>TEXT('１８表'!O24,"0000000000")</f>
        <v>0000000000</v>
      </c>
      <c r="P23" s="60" t="str">
        <f>TEXT('１８表'!P24,"0000000000")</f>
        <v>0000000000</v>
      </c>
      <c r="Q23" s="19">
        <f t="shared" si="0"/>
      </c>
    </row>
    <row r="24" spans="2:17" ht="39.75" customHeight="1">
      <c r="B24" s="138"/>
      <c r="C24" s="88" t="s">
        <v>99</v>
      </c>
      <c r="D24" s="85" t="s">
        <v>9</v>
      </c>
      <c r="E24" s="60" t="str">
        <f>TEXT('１８表'!E25,"0000000000")</f>
        <v>0000000001</v>
      </c>
      <c r="F24" s="60" t="str">
        <f>TEXT('１８表'!F25,"0000000000")</f>
        <v>0000000001</v>
      </c>
      <c r="G24" s="60" t="str">
        <f>TEXT('１８表'!G25,"0000000000")</f>
        <v>0001136576</v>
      </c>
      <c r="H24" s="60" t="str">
        <f>TEXT('１８表'!H25,"0000000000")</f>
        <v>0000000000</v>
      </c>
      <c r="I24" s="60" t="str">
        <f>TEXT('１８表'!I25,"0000000000")</f>
        <v>0000000000</v>
      </c>
      <c r="J24" s="60" t="str">
        <f>TEXT('１８表'!J25,"0000000000")</f>
        <v>0000000000</v>
      </c>
      <c r="K24" s="60" t="str">
        <f>TEXT('１８表'!K25,"0000000000")</f>
        <v>0000000000</v>
      </c>
      <c r="L24" s="60" t="str">
        <f>TEXT('１８表'!L25,"0000000000")</f>
        <v>0000000000</v>
      </c>
      <c r="M24" s="60" t="str">
        <f>TEXT('１８表'!M25,"0000000000")</f>
        <v>0000000002</v>
      </c>
      <c r="N24" s="60" t="str">
        <f>TEXT('１８表'!N25,"0000000000")</f>
        <v>0000000002</v>
      </c>
      <c r="O24" s="60" t="str">
        <f>TEXT('１８表'!O25,"0000000000")</f>
        <v>0000104212</v>
      </c>
      <c r="P24" s="60" t="str">
        <f>TEXT('１８表'!P25,"0000000000")</f>
        <v>0000000000</v>
      </c>
      <c r="Q24" s="19">
        <f t="shared" si="0"/>
      </c>
    </row>
    <row r="25" spans="2:17" ht="37.5" customHeight="1">
      <c r="B25" s="139"/>
      <c r="C25" s="83" t="s">
        <v>116</v>
      </c>
      <c r="D25" s="85" t="s">
        <v>10</v>
      </c>
      <c r="E25" s="60" t="str">
        <f>TEXT('１８表'!E26,"0000000000")</f>
        <v>0000000007</v>
      </c>
      <c r="F25" s="60" t="str">
        <f>TEXT('１８表'!F26,"0000000000")</f>
        <v>0000000007</v>
      </c>
      <c r="G25" s="60" t="str">
        <f>TEXT('１８表'!G26,"0000000000")</f>
        <v>0002581837</v>
      </c>
      <c r="H25" s="60" t="str">
        <f>TEXT('１８表'!H26,"0000000000")</f>
        <v>0000074400</v>
      </c>
      <c r="I25" s="60" t="str">
        <f>TEXT('１８表'!I26,"0000000000")</f>
        <v>0000000000</v>
      </c>
      <c r="J25" s="60" t="str">
        <f>TEXT('１８表'!J26,"0000000000")</f>
        <v>0000000000</v>
      </c>
      <c r="K25" s="60" t="str">
        <f>TEXT('１８表'!K26,"0000000000")</f>
        <v>0000000000</v>
      </c>
      <c r="L25" s="60" t="str">
        <f>TEXT('１８表'!L26,"0000000000")</f>
        <v>0000000000</v>
      </c>
      <c r="M25" s="60" t="str">
        <f>TEXT('１８表'!M26,"0000000000")</f>
        <v>0000000004</v>
      </c>
      <c r="N25" s="60" t="str">
        <f>TEXT('１８表'!N26,"0000000000")</f>
        <v>0000000004</v>
      </c>
      <c r="O25" s="60" t="str">
        <f>TEXT('１８表'!O26,"0000000000")</f>
        <v>0000283536</v>
      </c>
      <c r="P25" s="60" t="str">
        <f>TEXT('１８表'!P26,"0000000000")</f>
        <v>0000020969</v>
      </c>
      <c r="Q25" s="19">
        <f t="shared" si="0"/>
      </c>
    </row>
    <row r="26" spans="2:17" ht="19.5" customHeight="1">
      <c r="B26" s="141" t="s">
        <v>64</v>
      </c>
      <c r="C26" s="142"/>
      <c r="D26" s="85" t="s">
        <v>11</v>
      </c>
      <c r="E26" s="60" t="str">
        <f>TEXT('１８表'!E27,"0000000000")</f>
        <v>0000000010</v>
      </c>
      <c r="F26" s="60" t="str">
        <f>TEXT('１８表'!F27,"0000000000")</f>
        <v>0000000010</v>
      </c>
      <c r="G26" s="60" t="str">
        <f>TEXT('１８表'!G27,"0000000000")</f>
        <v>0000058292</v>
      </c>
      <c r="H26" s="60" t="str">
        <f>TEXT('１８表'!H27,"0000000000")</f>
        <v>0000001606</v>
      </c>
      <c r="I26" s="60" t="str">
        <f>TEXT('１８表'!I27,"0000000000")</f>
        <v>0000000000</v>
      </c>
      <c r="J26" s="60" t="str">
        <f>TEXT('１８表'!J27,"0000000000")</f>
        <v>0000000000</v>
      </c>
      <c r="K26" s="60" t="str">
        <f>TEXT('１８表'!K27,"0000000000")</f>
        <v>0000000000</v>
      </c>
      <c r="L26" s="60" t="str">
        <f>TEXT('１８表'!L27,"0000000000")</f>
        <v>0000000000</v>
      </c>
      <c r="M26" s="60" t="str">
        <f>TEXT('１８表'!M27,"0000000000")</f>
        <v>0000000001</v>
      </c>
      <c r="N26" s="60" t="str">
        <f>TEXT('１８表'!N27,"0000000000")</f>
        <v>0000000001</v>
      </c>
      <c r="O26" s="60" t="str">
        <f>TEXT('１８表'!O27,"0000000000")</f>
        <v>0000003100</v>
      </c>
      <c r="P26" s="60" t="str">
        <f>TEXT('１８表'!P27,"0000000000")</f>
        <v>0000000000</v>
      </c>
      <c r="Q26" s="19">
        <f t="shared" si="0"/>
      </c>
    </row>
    <row r="27" spans="2:17" ht="19.5" customHeight="1">
      <c r="B27" s="137" t="s">
        <v>95</v>
      </c>
      <c r="C27" s="82" t="s">
        <v>117</v>
      </c>
      <c r="D27" s="85" t="s">
        <v>82</v>
      </c>
      <c r="E27" s="60" t="str">
        <f>TEXT('１８表'!E28,"0000000000")</f>
        <v>0000000000</v>
      </c>
      <c r="F27" s="60" t="str">
        <f>TEXT('１８表'!F28,"0000000000")</f>
        <v>0000000000</v>
      </c>
      <c r="G27" s="60" t="str">
        <f>TEXT('１８表'!G28,"0000000000")</f>
        <v>0000000000</v>
      </c>
      <c r="H27" s="60" t="str">
        <f>TEXT('１８表'!H28,"0000000000")</f>
        <v>0000000000</v>
      </c>
      <c r="I27" s="60" t="str">
        <f>TEXT('１８表'!I28,"0000000000")</f>
        <v>0000000000</v>
      </c>
      <c r="J27" s="60" t="str">
        <f>TEXT('１８表'!J28,"0000000000")</f>
        <v>0000000000</v>
      </c>
      <c r="K27" s="60" t="str">
        <f>TEXT('１８表'!K28,"0000000000")</f>
        <v>0000000000</v>
      </c>
      <c r="L27" s="60" t="str">
        <f>TEXT('１８表'!L28,"0000000000")</f>
        <v>0000000000</v>
      </c>
      <c r="M27" s="60" t="str">
        <f>TEXT('１８表'!M28,"0000000000")</f>
        <v>0000000000</v>
      </c>
      <c r="N27" s="60" t="str">
        <f>TEXT('１８表'!N28,"0000000000")</f>
        <v>0000000000</v>
      </c>
      <c r="O27" s="60" t="str">
        <f>TEXT('１８表'!O28,"0000000000")</f>
        <v>0000000000</v>
      </c>
      <c r="P27" s="60" t="str">
        <f>TEXT('１８表'!P28,"0000000000")</f>
        <v>0000000000</v>
      </c>
      <c r="Q27" s="19">
        <f t="shared" si="0"/>
      </c>
    </row>
    <row r="28" spans="2:17" ht="19.5" customHeight="1">
      <c r="B28" s="138"/>
      <c r="C28" s="82" t="s">
        <v>118</v>
      </c>
      <c r="D28" s="85" t="s">
        <v>112</v>
      </c>
      <c r="E28" s="60" t="str">
        <f>TEXT('１８表'!E29,"0000000000")</f>
        <v>0000000003</v>
      </c>
      <c r="F28" s="60" t="str">
        <f>TEXT('１８表'!F29,"0000000000")</f>
        <v>0000000003</v>
      </c>
      <c r="G28" s="60" t="str">
        <f>TEXT('１８表'!G29,"0000000000")</f>
        <v>0000250734</v>
      </c>
      <c r="H28" s="60" t="str">
        <f>TEXT('１８表'!H29,"0000000000")</f>
        <v>0000008646</v>
      </c>
      <c r="I28" s="60" t="str">
        <f>TEXT('１８表'!I29,"0000000000")</f>
        <v>0000000000</v>
      </c>
      <c r="J28" s="60" t="str">
        <f>TEXT('１８表'!J29,"0000000000")</f>
        <v>0000000000</v>
      </c>
      <c r="K28" s="60" t="str">
        <f>TEXT('１８表'!K29,"0000000000")</f>
        <v>0000000000</v>
      </c>
      <c r="L28" s="60" t="str">
        <f>TEXT('１８表'!L29,"0000000000")</f>
        <v>0000000000</v>
      </c>
      <c r="M28" s="60" t="str">
        <f>TEXT('１８表'!M29,"0000000000")</f>
        <v>0000000000</v>
      </c>
      <c r="N28" s="60" t="str">
        <f>TEXT('１８表'!N29,"0000000000")</f>
        <v>0000000000</v>
      </c>
      <c r="O28" s="60" t="str">
        <f>TEXT('１８表'!O29,"0000000000")</f>
        <v>0000000000</v>
      </c>
      <c r="P28" s="60" t="str">
        <f>TEXT('１８表'!P29,"0000000000")</f>
        <v>0000000000</v>
      </c>
      <c r="Q28" s="19">
        <f t="shared" si="0"/>
      </c>
    </row>
    <row r="29" spans="2:17" ht="19.5" customHeight="1">
      <c r="B29" s="137" t="s">
        <v>65</v>
      </c>
      <c r="C29" s="82" t="s">
        <v>119</v>
      </c>
      <c r="D29" s="85" t="s">
        <v>128</v>
      </c>
      <c r="E29" s="60" t="str">
        <f>TEXT('１８表'!E30,"0000000000")</f>
        <v>0000000004</v>
      </c>
      <c r="F29" s="60" t="str">
        <f>TEXT('１８表'!F30,"0000000000")</f>
        <v>0000000004</v>
      </c>
      <c r="G29" s="60" t="str">
        <f>TEXT('１８表'!G30,"0000000000")</f>
        <v>0000109735</v>
      </c>
      <c r="H29" s="60" t="str">
        <f>TEXT('１８表'!H30,"0000000000")</f>
        <v>0000005906</v>
      </c>
      <c r="I29" s="60" t="str">
        <f>TEXT('１８表'!I30,"0000000000")</f>
        <v>0000000000</v>
      </c>
      <c r="J29" s="60" t="str">
        <f>TEXT('１８表'!J30,"0000000000")</f>
        <v>0000000000</v>
      </c>
      <c r="K29" s="60" t="str">
        <f>TEXT('１８表'!K30,"0000000000")</f>
        <v>0000000000</v>
      </c>
      <c r="L29" s="60" t="str">
        <f>TEXT('１８表'!L30,"0000000000")</f>
        <v>0000000000</v>
      </c>
      <c r="M29" s="60" t="str">
        <f>TEXT('１８表'!M30,"0000000000")</f>
        <v>0000000000</v>
      </c>
      <c r="N29" s="60" t="str">
        <f>TEXT('１８表'!N30,"0000000000")</f>
        <v>0000000000</v>
      </c>
      <c r="O29" s="60" t="str">
        <f>TEXT('１８表'!O30,"0000000000")</f>
        <v>0000000000</v>
      </c>
      <c r="P29" s="60" t="str">
        <f>TEXT('１８表'!P30,"0000000000")</f>
        <v>0000000000</v>
      </c>
      <c r="Q29" s="19">
        <f t="shared" si="0"/>
      </c>
    </row>
    <row r="30" spans="2:17" ht="19.5" customHeight="1">
      <c r="B30" s="138"/>
      <c r="C30" s="82" t="s">
        <v>120</v>
      </c>
      <c r="D30" s="85" t="s">
        <v>129</v>
      </c>
      <c r="E30" s="60" t="str">
        <f>TEXT('１８表'!E31,"0000000000")</f>
        <v>0000000004</v>
      </c>
      <c r="F30" s="60" t="str">
        <f>TEXT('１８表'!F31,"0000000000")</f>
        <v>0000000004</v>
      </c>
      <c r="G30" s="60" t="str">
        <f>TEXT('１８表'!G31,"0000000000")</f>
        <v>0000084656</v>
      </c>
      <c r="H30" s="60" t="str">
        <f>TEXT('１８表'!H31,"0000000000")</f>
        <v>0000003585</v>
      </c>
      <c r="I30" s="60" t="str">
        <f>TEXT('１８表'!I31,"0000000000")</f>
        <v>0000000000</v>
      </c>
      <c r="J30" s="60" t="str">
        <f>TEXT('１８表'!J31,"0000000000")</f>
        <v>0000000000</v>
      </c>
      <c r="K30" s="60" t="str">
        <f>TEXT('１８表'!K31,"0000000000")</f>
        <v>0000000000</v>
      </c>
      <c r="L30" s="60" t="str">
        <f>TEXT('１８表'!L31,"0000000000")</f>
        <v>0000000000</v>
      </c>
      <c r="M30" s="60" t="str">
        <f>TEXT('１８表'!M31,"0000000000")</f>
        <v>0000000000</v>
      </c>
      <c r="N30" s="60" t="str">
        <f>TEXT('１８表'!N31,"0000000000")</f>
        <v>0000000000</v>
      </c>
      <c r="O30" s="60" t="str">
        <f>TEXT('１８表'!O31,"0000000000")</f>
        <v>0000000000</v>
      </c>
      <c r="P30" s="60" t="str">
        <f>TEXT('１８表'!P31,"0000000000")</f>
        <v>0000000000</v>
      </c>
      <c r="Q30" s="19">
        <f t="shared" si="0"/>
      </c>
    </row>
    <row r="31" spans="2:17" ht="19.5" customHeight="1">
      <c r="B31" s="138"/>
      <c r="C31" s="82" t="s">
        <v>121</v>
      </c>
      <c r="D31" s="85" t="s">
        <v>130</v>
      </c>
      <c r="E31" s="60" t="str">
        <f>TEXT('１８表'!E32,"0000000000")</f>
        <v>0000000000</v>
      </c>
      <c r="F31" s="60" t="str">
        <f>TEXT('１８表'!F32,"0000000000")</f>
        <v>0000000000</v>
      </c>
      <c r="G31" s="60" t="str">
        <f>TEXT('１８表'!G32,"0000000000")</f>
        <v>0000000000</v>
      </c>
      <c r="H31" s="60" t="str">
        <f>TEXT('１８表'!H32,"0000000000")</f>
        <v>0000000000</v>
      </c>
      <c r="I31" s="60" t="str">
        <f>TEXT('１８表'!I32,"0000000000")</f>
        <v>0000000000</v>
      </c>
      <c r="J31" s="60" t="str">
        <f>TEXT('１８表'!J32,"0000000000")</f>
        <v>0000000000</v>
      </c>
      <c r="K31" s="60" t="str">
        <f>TEXT('１８表'!K32,"0000000000")</f>
        <v>0000000000</v>
      </c>
      <c r="L31" s="60" t="str">
        <f>TEXT('１８表'!L32,"0000000000")</f>
        <v>0000000000</v>
      </c>
      <c r="M31" s="60" t="str">
        <f>TEXT('１８表'!M32,"0000000000")</f>
        <v>0000000000</v>
      </c>
      <c r="N31" s="60" t="str">
        <f>TEXT('１８表'!N32,"0000000000")</f>
        <v>0000000000</v>
      </c>
      <c r="O31" s="60" t="str">
        <f>TEXT('１８表'!O32,"0000000000")</f>
        <v>0000000000</v>
      </c>
      <c r="P31" s="60" t="str">
        <f>TEXT('１８表'!P32,"0000000000")</f>
        <v>0000000000</v>
      </c>
      <c r="Q31" s="19">
        <f t="shared" si="0"/>
      </c>
    </row>
    <row r="32" spans="2:17" ht="19.5" customHeight="1">
      <c r="B32" s="139"/>
      <c r="C32" s="82" t="s">
        <v>122</v>
      </c>
      <c r="D32" s="85" t="s">
        <v>131</v>
      </c>
      <c r="E32" s="60" t="str">
        <f>TEXT('１８表'!E33,"0000000000")</f>
        <v>0000000000</v>
      </c>
      <c r="F32" s="60" t="str">
        <f>TEXT('１８表'!F33,"0000000000")</f>
        <v>0000000000</v>
      </c>
      <c r="G32" s="60" t="str">
        <f>TEXT('１８表'!G33,"0000000000")</f>
        <v>0000000000</v>
      </c>
      <c r="H32" s="60" t="str">
        <f>TEXT('１８表'!H33,"0000000000")</f>
        <v>0000000000</v>
      </c>
      <c r="I32" s="60" t="str">
        <f>TEXT('１８表'!I33,"0000000000")</f>
        <v>0000000000</v>
      </c>
      <c r="J32" s="60" t="str">
        <f>TEXT('１８表'!J33,"0000000000")</f>
        <v>0000000000</v>
      </c>
      <c r="K32" s="60" t="str">
        <f>TEXT('１８表'!K33,"0000000000")</f>
        <v>0000000000</v>
      </c>
      <c r="L32" s="60" t="str">
        <f>TEXT('１８表'!L33,"0000000000")</f>
        <v>0000000000</v>
      </c>
      <c r="M32" s="60" t="str">
        <f>TEXT('１８表'!M33,"0000000000")</f>
        <v>0000000000</v>
      </c>
      <c r="N32" s="60" t="str">
        <f>TEXT('１８表'!N33,"0000000000")</f>
        <v>0000000000</v>
      </c>
      <c r="O32" s="60" t="str">
        <f>TEXT('１８表'!O33,"0000000000")</f>
        <v>0000000000</v>
      </c>
      <c r="P32" s="60" t="str">
        <f>TEXT('１８表'!P33,"0000000000")</f>
        <v>0000000000</v>
      </c>
      <c r="Q32" s="19">
        <f t="shared" si="0"/>
      </c>
    </row>
    <row r="33" spans="2:17" ht="39" customHeight="1">
      <c r="B33" s="137" t="s">
        <v>66</v>
      </c>
      <c r="C33" s="82" t="s">
        <v>123</v>
      </c>
      <c r="D33" s="85" t="s">
        <v>132</v>
      </c>
      <c r="E33" s="60" t="str">
        <f>TEXT('１８表'!E34,"0000000000")</f>
        <v>0000000001</v>
      </c>
      <c r="F33" s="60" t="str">
        <f>TEXT('１８表'!F34,"0000000000")</f>
        <v>0000000001</v>
      </c>
      <c r="G33" s="60" t="str">
        <f>TEXT('１８表'!G34,"0000000000")</f>
        <v>0000035841</v>
      </c>
      <c r="H33" s="60" t="str">
        <f>TEXT('１８表'!H34,"0000000000")</f>
        <v>0000000000</v>
      </c>
      <c r="I33" s="60" t="str">
        <f>TEXT('１８表'!I34,"0000000000")</f>
        <v>0000000000</v>
      </c>
      <c r="J33" s="60" t="str">
        <f>TEXT('１８表'!J34,"0000000000")</f>
        <v>0000000000</v>
      </c>
      <c r="K33" s="60" t="str">
        <f>TEXT('１８表'!K34,"0000000000")</f>
        <v>0000000000</v>
      </c>
      <c r="L33" s="60" t="str">
        <f>TEXT('１８表'!L34,"0000000000")</f>
        <v>0000000000</v>
      </c>
      <c r="M33" s="60" t="str">
        <f>TEXT('１８表'!M34,"0000000000")</f>
        <v>0000000001</v>
      </c>
      <c r="N33" s="60" t="str">
        <f>TEXT('１８表'!N34,"0000000000")</f>
        <v>0000000001</v>
      </c>
      <c r="O33" s="60" t="str">
        <f>TEXT('１８表'!O34,"0000000000")</f>
        <v>0000011171</v>
      </c>
      <c r="P33" s="60" t="str">
        <f>TEXT('１８表'!P34,"0000000000")</f>
        <v>0000000000</v>
      </c>
      <c r="Q33" s="19">
        <f t="shared" si="0"/>
      </c>
    </row>
    <row r="34" spans="2:17" ht="35.25" customHeight="1">
      <c r="B34" s="138"/>
      <c r="C34" s="82" t="s">
        <v>124</v>
      </c>
      <c r="D34" s="85" t="s">
        <v>133</v>
      </c>
      <c r="E34" s="60" t="str">
        <f>TEXT('１８表'!E35,"0000000000")</f>
        <v>0000000011</v>
      </c>
      <c r="F34" s="60" t="str">
        <f>TEXT('１８表'!F35,"0000000000")</f>
        <v>0000000011</v>
      </c>
      <c r="G34" s="60" t="str">
        <f>TEXT('１８表'!G35,"0000000000")</f>
        <v>0000573249</v>
      </c>
      <c r="H34" s="60" t="str">
        <f>TEXT('１８表'!H35,"0000000000")</f>
        <v>0000009612</v>
      </c>
      <c r="I34" s="60" t="str">
        <f>TEXT('１８表'!I35,"0000000000")</f>
        <v>0000000000</v>
      </c>
      <c r="J34" s="60" t="str">
        <f>TEXT('１８表'!J35,"0000000000")</f>
        <v>0000000000</v>
      </c>
      <c r="K34" s="60" t="str">
        <f>TEXT('１８表'!K35,"0000000000")</f>
        <v>0000000000</v>
      </c>
      <c r="L34" s="60" t="str">
        <f>TEXT('１８表'!L35,"0000000000")</f>
        <v>0000000000</v>
      </c>
      <c r="M34" s="60" t="str">
        <f>TEXT('１８表'!M35,"0000000000")</f>
        <v>0000000006</v>
      </c>
      <c r="N34" s="60" t="str">
        <f>TEXT('１８表'!N35,"0000000000")</f>
        <v>0000000006</v>
      </c>
      <c r="O34" s="60" t="str">
        <f>TEXT('１８表'!O35,"0000000000")</f>
        <v>0000107090</v>
      </c>
      <c r="P34" s="60" t="str">
        <f>TEXT('１８表'!P35,"0000000000")</f>
        <v>0000010714</v>
      </c>
      <c r="Q34" s="19">
        <f t="shared" si="0"/>
      </c>
    </row>
    <row r="35" spans="2:17" ht="40.5" customHeight="1">
      <c r="B35" s="138"/>
      <c r="C35" s="82" t="s">
        <v>125</v>
      </c>
      <c r="D35" s="85" t="s">
        <v>134</v>
      </c>
      <c r="E35" s="60" t="str">
        <f>TEXT('１８表'!E36,"0000000000")</f>
        <v>0000000001</v>
      </c>
      <c r="F35" s="60" t="str">
        <f>TEXT('１８表'!F36,"0000000000")</f>
        <v>0000000001</v>
      </c>
      <c r="G35" s="60" t="str">
        <f>TEXT('１８表'!G36,"0000000000")</f>
        <v>0000058478</v>
      </c>
      <c r="H35" s="60" t="str">
        <f>TEXT('１８表'!H36,"0000000000")</f>
        <v>0000000000</v>
      </c>
      <c r="I35" s="60" t="str">
        <f>TEXT('１８表'!I36,"0000000000")</f>
        <v>0000000000</v>
      </c>
      <c r="J35" s="60" t="str">
        <f>TEXT('１８表'!J36,"0000000000")</f>
        <v>0000000000</v>
      </c>
      <c r="K35" s="60" t="str">
        <f>TEXT('１８表'!K36,"0000000000")</f>
        <v>0000000000</v>
      </c>
      <c r="L35" s="60" t="str">
        <f>TEXT('１８表'!L36,"0000000000")</f>
        <v>0000000000</v>
      </c>
      <c r="M35" s="60" t="str">
        <f>TEXT('１８表'!M36,"0000000000")</f>
        <v>0000000000</v>
      </c>
      <c r="N35" s="60" t="str">
        <f>TEXT('１８表'!N36,"0000000000")</f>
        <v>0000000000</v>
      </c>
      <c r="O35" s="60" t="str">
        <f>TEXT('１８表'!O36,"0000000000")</f>
        <v>0000000000</v>
      </c>
      <c r="P35" s="60" t="str">
        <f>TEXT('１８表'!P36,"0000000000")</f>
        <v>0000000000</v>
      </c>
      <c r="Q35" s="19">
        <f t="shared" si="0"/>
      </c>
    </row>
    <row r="36" spans="2:17" ht="37.5" customHeight="1">
      <c r="B36" s="138"/>
      <c r="C36" s="82" t="s">
        <v>126</v>
      </c>
      <c r="D36" s="85" t="s">
        <v>135</v>
      </c>
      <c r="E36" s="60" t="str">
        <f>TEXT('１８表'!E37,"0000000000")</f>
        <v>0000000013</v>
      </c>
      <c r="F36" s="60" t="str">
        <f>TEXT('１８表'!F37,"0000000000")</f>
        <v>0000000013</v>
      </c>
      <c r="G36" s="60" t="str">
        <f>TEXT('１８表'!G37,"0000000000")</f>
        <v>0001000165</v>
      </c>
      <c r="H36" s="60" t="str">
        <f>TEXT('１８表'!H37,"0000000000")</f>
        <v>0000064773</v>
      </c>
      <c r="I36" s="60" t="str">
        <f>TEXT('１８表'!I37,"0000000000")</f>
        <v>0000000000</v>
      </c>
      <c r="J36" s="60" t="str">
        <f>TEXT('１８表'!J37,"0000000000")</f>
        <v>0000000000</v>
      </c>
      <c r="K36" s="60" t="str">
        <f>TEXT('１８表'!K37,"0000000000")</f>
        <v>0000000000</v>
      </c>
      <c r="L36" s="60" t="str">
        <f>TEXT('１８表'!L37,"0000000000")</f>
        <v>0000000000</v>
      </c>
      <c r="M36" s="60" t="str">
        <f>TEXT('１８表'!M37,"0000000000")</f>
        <v>0000000016</v>
      </c>
      <c r="N36" s="60" t="str">
        <f>TEXT('１８表'!N37,"0000000000")</f>
        <v>0000000016</v>
      </c>
      <c r="O36" s="60" t="str">
        <f>TEXT('１８表'!O37,"0000000000")</f>
        <v>0000397895</v>
      </c>
      <c r="P36" s="60" t="str">
        <f>TEXT('１８表'!P37,"0000000000")</f>
        <v>0000031546</v>
      </c>
      <c r="Q36" s="19">
        <f t="shared" si="0"/>
      </c>
    </row>
    <row r="37" spans="2:17" ht="19.5" customHeight="1">
      <c r="B37" s="138"/>
      <c r="C37" s="82" t="s">
        <v>79</v>
      </c>
      <c r="D37" s="85" t="s">
        <v>136</v>
      </c>
      <c r="E37" s="60" t="str">
        <f>TEXT('１８表'!E38,"0000000000")</f>
        <v>0000000000</v>
      </c>
      <c r="F37" s="60" t="str">
        <f>TEXT('１８表'!F38,"0000000000")</f>
        <v>0000000000</v>
      </c>
      <c r="G37" s="60" t="str">
        <f>TEXT('１８表'!G38,"0000000000")</f>
        <v>0000000000</v>
      </c>
      <c r="H37" s="60" t="str">
        <f>TEXT('１８表'!H38,"0000000000")</f>
        <v>0000000000</v>
      </c>
      <c r="I37" s="60" t="str">
        <f>TEXT('１８表'!I38,"0000000000")</f>
        <v>0000000000</v>
      </c>
      <c r="J37" s="60" t="str">
        <f>TEXT('１８表'!J38,"0000000000")</f>
        <v>0000000000</v>
      </c>
      <c r="K37" s="60" t="str">
        <f>TEXT('１８表'!K38,"0000000000")</f>
        <v>0000000000</v>
      </c>
      <c r="L37" s="60" t="str">
        <f>TEXT('１８表'!L38,"0000000000")</f>
        <v>0000000000</v>
      </c>
      <c r="M37" s="60" t="str">
        <f>TEXT('１８表'!M38,"0000000000")</f>
        <v>0000000000</v>
      </c>
      <c r="N37" s="60" t="str">
        <f>TEXT('１８表'!N38,"0000000000")</f>
        <v>0000000000</v>
      </c>
      <c r="O37" s="60" t="str">
        <f>TEXT('１８表'!O38,"0000000000")</f>
        <v>0000000000</v>
      </c>
      <c r="P37" s="60" t="str">
        <f>TEXT('１８表'!P38,"0000000000")</f>
        <v>0000000000</v>
      </c>
      <c r="Q37" s="19">
        <f t="shared" si="0"/>
      </c>
    </row>
    <row r="38" spans="2:17" ht="19.5" customHeight="1">
      <c r="B38" s="138"/>
      <c r="C38" s="96" t="s">
        <v>80</v>
      </c>
      <c r="D38" s="85" t="s">
        <v>137</v>
      </c>
      <c r="E38" s="60" t="str">
        <f>TEXT('１８表'!E39,"0000000000")</f>
        <v>0000000000</v>
      </c>
      <c r="F38" s="60" t="str">
        <f>TEXT('１８表'!F39,"0000000000")</f>
        <v>0000000000</v>
      </c>
      <c r="G38" s="60" t="str">
        <f>TEXT('１８表'!G39,"0000000000")</f>
        <v>0000000000</v>
      </c>
      <c r="H38" s="60" t="str">
        <f>TEXT('１８表'!H39,"0000000000")</f>
        <v>0000000000</v>
      </c>
      <c r="I38" s="60" t="str">
        <f>TEXT('１８表'!I39,"0000000000")</f>
        <v>0000000000</v>
      </c>
      <c r="J38" s="60" t="str">
        <f>TEXT('１８表'!J39,"0000000000")</f>
        <v>0000000000</v>
      </c>
      <c r="K38" s="60" t="str">
        <f>TEXT('１８表'!K39,"0000000000")</f>
        <v>0000000000</v>
      </c>
      <c r="L38" s="60" t="str">
        <f>TEXT('１８表'!L39,"0000000000")</f>
        <v>0000000000</v>
      </c>
      <c r="M38" s="60" t="str">
        <f>TEXT('１８表'!M39,"0000000000")</f>
        <v>0000000001</v>
      </c>
      <c r="N38" s="60" t="str">
        <f>TEXT('１８表'!N39,"0000000000")</f>
        <v>0000000001</v>
      </c>
      <c r="O38" s="60" t="str">
        <f>TEXT('１８表'!O39,"0000000000")</f>
        <v>0000004716</v>
      </c>
      <c r="P38" s="60" t="str">
        <f>TEXT('１８表'!P39,"0000000000")</f>
        <v>0000000524</v>
      </c>
      <c r="Q38" s="19">
        <f t="shared" si="0"/>
      </c>
    </row>
    <row r="39" spans="2:17" ht="19.5" customHeight="1">
      <c r="B39" s="138"/>
      <c r="C39" s="96" t="s">
        <v>83</v>
      </c>
      <c r="D39" s="85" t="s">
        <v>138</v>
      </c>
      <c r="E39" s="60" t="str">
        <f>TEXT('１８表'!E40,"0000000000")</f>
        <v>0000000000</v>
      </c>
      <c r="F39" s="60" t="str">
        <f>TEXT('１８表'!F40,"0000000000")</f>
        <v>0000000000</v>
      </c>
      <c r="G39" s="60" t="str">
        <f>TEXT('１８表'!G40,"0000000000")</f>
        <v>0000000000</v>
      </c>
      <c r="H39" s="60" t="str">
        <f>TEXT('１８表'!H40,"0000000000")</f>
        <v>0000000000</v>
      </c>
      <c r="I39" s="60" t="str">
        <f>TEXT('１８表'!I40,"0000000000")</f>
        <v>0000000000</v>
      </c>
      <c r="J39" s="60" t="str">
        <f>TEXT('１８表'!J40,"0000000000")</f>
        <v>0000000000</v>
      </c>
      <c r="K39" s="60" t="str">
        <f>TEXT('１８表'!K40,"0000000000")</f>
        <v>0000000000</v>
      </c>
      <c r="L39" s="60" t="str">
        <f>TEXT('１８表'!L40,"0000000000")</f>
        <v>0000000000</v>
      </c>
      <c r="M39" s="60" t="str">
        <f>TEXT('１８表'!M40,"0000000000")</f>
        <v>0000000000</v>
      </c>
      <c r="N39" s="60" t="str">
        <f>TEXT('１８表'!N40,"0000000000")</f>
        <v>0000000000</v>
      </c>
      <c r="O39" s="60" t="str">
        <f>TEXT('１８表'!O40,"0000000000")</f>
        <v>0000000000</v>
      </c>
      <c r="P39" s="60" t="str">
        <f>TEXT('１８表'!P40,"0000000000")</f>
        <v>0000000000</v>
      </c>
      <c r="Q39" s="19">
        <f t="shared" si="0"/>
      </c>
    </row>
    <row r="40" spans="2:17" ht="19.5" customHeight="1">
      <c r="B40" s="139"/>
      <c r="C40" s="82" t="s">
        <v>127</v>
      </c>
      <c r="D40" s="85" t="s">
        <v>139</v>
      </c>
      <c r="E40" s="60" t="str">
        <f>TEXT('１８表'!E41,"0000000000")</f>
        <v>0000000000</v>
      </c>
      <c r="F40" s="60" t="str">
        <f>TEXT('１８表'!F41,"0000000000")</f>
        <v>0000000000</v>
      </c>
      <c r="G40" s="60" t="str">
        <f>TEXT('１８表'!G41,"0000000000")</f>
        <v>0000000000</v>
      </c>
      <c r="H40" s="60" t="str">
        <f>TEXT('１８表'!H41,"0000000000")</f>
        <v>0000000000</v>
      </c>
      <c r="I40" s="60" t="str">
        <f>TEXT('１８表'!I41,"0000000000")</f>
        <v>0000000000</v>
      </c>
      <c r="J40" s="60" t="str">
        <f>TEXT('１８表'!J41,"0000000000")</f>
        <v>0000000000</v>
      </c>
      <c r="K40" s="60" t="str">
        <f>TEXT('１８表'!K41,"0000000000")</f>
        <v>0000000000</v>
      </c>
      <c r="L40" s="60" t="str">
        <f>TEXT('１８表'!L41,"0000000000")</f>
        <v>0000000000</v>
      </c>
      <c r="M40" s="60" t="str">
        <f>TEXT('１８表'!M41,"0000000000")</f>
        <v>0000000000</v>
      </c>
      <c r="N40" s="60" t="str">
        <f>TEXT('１８表'!N41,"0000000000")</f>
        <v>0000000000</v>
      </c>
      <c r="O40" s="60" t="str">
        <f>TEXT('１８表'!O41,"0000000000")</f>
        <v>0000000000</v>
      </c>
      <c r="P40" s="60" t="str">
        <f>TEXT('１８表'!P41,"0000000000")</f>
        <v>0000000000</v>
      </c>
      <c r="Q40" s="19">
        <f t="shared" si="0"/>
      </c>
    </row>
    <row r="41" spans="2:17" ht="19.5" customHeight="1">
      <c r="B41" s="137" t="s">
        <v>100</v>
      </c>
      <c r="C41" s="82" t="s">
        <v>37</v>
      </c>
      <c r="D41" s="85" t="s">
        <v>141</v>
      </c>
      <c r="E41" s="60" t="str">
        <f>TEXT('１８表'!E42,"0000000000")</f>
        <v>0000000013</v>
      </c>
      <c r="F41" s="60" t="str">
        <f>TEXT('１８表'!F42,"0000000000")</f>
        <v>0000000013</v>
      </c>
      <c r="G41" s="60" t="str">
        <f>TEXT('１８表'!G42,"0000000000")</f>
        <v>0002495554</v>
      </c>
      <c r="H41" s="60" t="str">
        <f>TEXT('１８表'!H42,"0000000000")</f>
        <v>0000130629</v>
      </c>
      <c r="I41" s="60" t="str">
        <f>TEXT('１８表'!I42,"0000000000")</f>
        <v>0000000000</v>
      </c>
      <c r="J41" s="60" t="str">
        <f>TEXT('１８表'!J42,"0000000000")</f>
        <v>0000000000</v>
      </c>
      <c r="K41" s="60" t="str">
        <f>TEXT('１８表'!K42,"0000000000")</f>
        <v>0000000000</v>
      </c>
      <c r="L41" s="60" t="str">
        <f>TEXT('１８表'!L42,"0000000000")</f>
        <v>0000000000</v>
      </c>
      <c r="M41" s="60" t="str">
        <f>TEXT('１８表'!M42,"0000000000")</f>
        <v>0000000025</v>
      </c>
      <c r="N41" s="60" t="str">
        <f>TEXT('１８表'!N42,"0000000000")</f>
        <v>0000000025</v>
      </c>
      <c r="O41" s="60" t="str">
        <f>TEXT('１８表'!O42,"0000000000")</f>
        <v>0001015567</v>
      </c>
      <c r="P41" s="60" t="str">
        <f>TEXT('１８表'!P42,"0000000000")</f>
        <v>0000066945</v>
      </c>
      <c r="Q41" s="19">
        <f t="shared" si="0"/>
      </c>
    </row>
    <row r="42" spans="2:17" ht="19.5" customHeight="1">
      <c r="B42" s="140"/>
      <c r="C42" s="82" t="s">
        <v>46</v>
      </c>
      <c r="D42" s="85" t="s">
        <v>142</v>
      </c>
      <c r="E42" s="60" t="str">
        <f>TEXT('１８表'!E43,"0000000000")</f>
        <v>0000000000</v>
      </c>
      <c r="F42" s="60" t="str">
        <f>TEXT('１８表'!F43,"0000000000")</f>
        <v>0000000000</v>
      </c>
      <c r="G42" s="60" t="str">
        <f>TEXT('１８表'!G43,"0000000000")</f>
        <v>0000000000</v>
      </c>
      <c r="H42" s="60" t="str">
        <f>TEXT('１８表'!H43,"0000000000")</f>
        <v>0000000000</v>
      </c>
      <c r="I42" s="60" t="str">
        <f>TEXT('１８表'!I43,"0000000000")</f>
        <v>0000000000</v>
      </c>
      <c r="J42" s="60" t="str">
        <f>TEXT('１８表'!J43,"0000000000")</f>
        <v>0000000000</v>
      </c>
      <c r="K42" s="60" t="str">
        <f>TEXT('１８表'!K43,"0000000000")</f>
        <v>0000000000</v>
      </c>
      <c r="L42" s="60" t="str">
        <f>TEXT('１８表'!L43,"0000000000")</f>
        <v>0000000000</v>
      </c>
      <c r="M42" s="60" t="str">
        <f>TEXT('１８表'!M43,"0000000000")</f>
        <v>0000000000</v>
      </c>
      <c r="N42" s="60" t="str">
        <f>TEXT('１８表'!N43,"0000000000")</f>
        <v>0000000000</v>
      </c>
      <c r="O42" s="60" t="str">
        <f>TEXT('１８表'!O43,"0000000000")</f>
        <v>0000000000</v>
      </c>
      <c r="P42" s="60" t="str">
        <f>TEXT('１８表'!P43,"0000000000")</f>
        <v>0000000000</v>
      </c>
      <c r="Q42" s="19">
        <f t="shared" si="0"/>
      </c>
    </row>
    <row r="43" spans="2:17" ht="19.5" customHeight="1">
      <c r="B43" s="140"/>
      <c r="C43" s="82" t="s">
        <v>84</v>
      </c>
      <c r="D43" s="85" t="s">
        <v>143</v>
      </c>
      <c r="E43" s="60" t="str">
        <f>TEXT('１８表'!E44,"0000000000")</f>
        <v>0000000000</v>
      </c>
      <c r="F43" s="60" t="str">
        <f>TEXT('１８表'!F44,"0000000000")</f>
        <v>0000000000</v>
      </c>
      <c r="G43" s="60" t="str">
        <f>TEXT('１８表'!G44,"0000000000")</f>
        <v>0000000000</v>
      </c>
      <c r="H43" s="60" t="str">
        <f>TEXT('１８表'!H44,"0000000000")</f>
        <v>0000000000</v>
      </c>
      <c r="I43" s="60" t="str">
        <f>TEXT('１８表'!I44,"0000000000")</f>
        <v>0000000000</v>
      </c>
      <c r="J43" s="60" t="str">
        <f>TEXT('１８表'!J44,"0000000000")</f>
        <v>0000000000</v>
      </c>
      <c r="K43" s="60" t="str">
        <f>TEXT('１８表'!K44,"0000000000")</f>
        <v>0000000000</v>
      </c>
      <c r="L43" s="60" t="str">
        <f>TEXT('１８表'!L44,"0000000000")</f>
        <v>0000000000</v>
      </c>
      <c r="M43" s="60" t="str">
        <f>TEXT('１８表'!M44,"0000000000")</f>
        <v>0000000001</v>
      </c>
      <c r="N43" s="60" t="str">
        <f>TEXT('１８表'!N44,"0000000000")</f>
        <v>0000000001</v>
      </c>
      <c r="O43" s="60" t="str">
        <f>TEXT('１８表'!O44,"0000000000")</f>
        <v>0000023684</v>
      </c>
      <c r="P43" s="60" t="str">
        <f>TEXT('１８表'!P44,"0000000000")</f>
        <v>0000000000</v>
      </c>
      <c r="Q43" s="19">
        <f t="shared" si="0"/>
      </c>
    </row>
    <row r="44" spans="2:17" ht="35.25" customHeight="1">
      <c r="B44" s="140"/>
      <c r="C44" s="82" t="s">
        <v>85</v>
      </c>
      <c r="D44" s="85" t="s">
        <v>144</v>
      </c>
      <c r="E44" s="60" t="str">
        <f>TEXT('１８表'!E45,"0000000000")</f>
        <v>0000000000</v>
      </c>
      <c r="F44" s="60" t="str">
        <f>TEXT('１８表'!F45,"0000000000")</f>
        <v>0000000000</v>
      </c>
      <c r="G44" s="60" t="str">
        <f>TEXT('１８表'!G45,"0000000000")</f>
        <v>0000000000</v>
      </c>
      <c r="H44" s="60" t="str">
        <f>TEXT('１８表'!H45,"0000000000")</f>
        <v>0000000000</v>
      </c>
      <c r="I44" s="60" t="str">
        <f>TEXT('１８表'!I45,"0000000000")</f>
        <v>0000000000</v>
      </c>
      <c r="J44" s="60" t="str">
        <f>TEXT('１８表'!J45,"0000000000")</f>
        <v>0000000000</v>
      </c>
      <c r="K44" s="60" t="str">
        <f>TEXT('１８表'!K45,"0000000000")</f>
        <v>0000000000</v>
      </c>
      <c r="L44" s="60" t="str">
        <f>TEXT('１８表'!L45,"0000000000")</f>
        <v>0000000000</v>
      </c>
      <c r="M44" s="60" t="str">
        <f>TEXT('１８表'!M45,"0000000000")</f>
        <v>0000000000</v>
      </c>
      <c r="N44" s="60" t="str">
        <f>TEXT('１８表'!N45,"0000000000")</f>
        <v>0000000000</v>
      </c>
      <c r="O44" s="60" t="str">
        <f>TEXT('１８表'!O45,"0000000000")</f>
        <v>0000000000</v>
      </c>
      <c r="P44" s="60" t="str">
        <f>TEXT('１８表'!P45,"0000000000")</f>
        <v>0000000000</v>
      </c>
      <c r="Q44" s="19">
        <f t="shared" si="0"/>
      </c>
    </row>
    <row r="45" spans="2:17" ht="19.5" customHeight="1">
      <c r="B45" s="140"/>
      <c r="C45" s="82" t="s">
        <v>86</v>
      </c>
      <c r="D45" s="85" t="s">
        <v>145</v>
      </c>
      <c r="E45" s="60" t="str">
        <f>TEXT('１８表'!E46,"0000000000")</f>
        <v>0000000000</v>
      </c>
      <c r="F45" s="60" t="str">
        <f>TEXT('１８表'!F46,"0000000000")</f>
        <v>0000000000</v>
      </c>
      <c r="G45" s="60" t="str">
        <f>TEXT('１８表'!G46,"0000000000")</f>
        <v>0000000000</v>
      </c>
      <c r="H45" s="60" t="str">
        <f>TEXT('１８表'!H46,"0000000000")</f>
        <v>0000000000</v>
      </c>
      <c r="I45" s="60" t="str">
        <f>TEXT('１８表'!I46,"0000000000")</f>
        <v>0000000000</v>
      </c>
      <c r="J45" s="60" t="str">
        <f>TEXT('１８表'!J46,"0000000000")</f>
        <v>0000000000</v>
      </c>
      <c r="K45" s="60" t="str">
        <f>TEXT('１８表'!K46,"0000000000")</f>
        <v>0000000000</v>
      </c>
      <c r="L45" s="60" t="str">
        <f>TEXT('１８表'!L46,"0000000000")</f>
        <v>0000000000</v>
      </c>
      <c r="M45" s="60" t="str">
        <f>TEXT('１８表'!M46,"0000000000")</f>
        <v>0000000000</v>
      </c>
      <c r="N45" s="60" t="str">
        <f>TEXT('１８表'!N46,"0000000000")</f>
        <v>0000000000</v>
      </c>
      <c r="O45" s="60" t="str">
        <f>TEXT('１８表'!O46,"0000000000")</f>
        <v>0000000000</v>
      </c>
      <c r="P45" s="60" t="str">
        <f>TEXT('１８表'!P46,"0000000000")</f>
        <v>0000000000</v>
      </c>
      <c r="Q45" s="19">
        <f t="shared" si="0"/>
      </c>
    </row>
    <row r="46" spans="2:17" ht="19.5" customHeight="1">
      <c r="B46" s="140"/>
      <c r="C46" s="82" t="s">
        <v>47</v>
      </c>
      <c r="D46" s="85" t="s">
        <v>146</v>
      </c>
      <c r="E46" s="60" t="str">
        <f>TEXT('１８表'!E47,"0000000000")</f>
        <v>0000000000</v>
      </c>
      <c r="F46" s="60" t="str">
        <f>TEXT('１８表'!F47,"0000000000")</f>
        <v>0000000000</v>
      </c>
      <c r="G46" s="60" t="str">
        <f>TEXT('１８表'!G47,"0000000000")</f>
        <v>0000000000</v>
      </c>
      <c r="H46" s="60" t="str">
        <f>TEXT('１８表'!H47,"0000000000")</f>
        <v>0000000000</v>
      </c>
      <c r="I46" s="60" t="str">
        <f>TEXT('１８表'!I47,"0000000000")</f>
        <v>0000000000</v>
      </c>
      <c r="J46" s="60" t="str">
        <f>TEXT('１８表'!J47,"0000000000")</f>
        <v>0000000000</v>
      </c>
      <c r="K46" s="60" t="str">
        <f>TEXT('１８表'!K47,"0000000000")</f>
        <v>0000000000</v>
      </c>
      <c r="L46" s="60" t="str">
        <f>TEXT('１８表'!L47,"0000000000")</f>
        <v>0000000000</v>
      </c>
      <c r="M46" s="60" t="str">
        <f>TEXT('１８表'!M47,"0000000000")</f>
        <v>0000000000</v>
      </c>
      <c r="N46" s="60" t="str">
        <f>TEXT('１８表'!N47,"0000000000")</f>
        <v>0000000000</v>
      </c>
      <c r="O46" s="60" t="str">
        <f>TEXT('１８表'!O47,"0000000000")</f>
        <v>0000000000</v>
      </c>
      <c r="P46" s="60" t="str">
        <f>TEXT('１８表'!P47,"0000000000")</f>
        <v>0000000000</v>
      </c>
      <c r="Q46" s="19">
        <f t="shared" si="0"/>
      </c>
    </row>
    <row r="47" spans="2:17" ht="36.75" customHeight="1">
      <c r="B47" s="140"/>
      <c r="C47" s="84" t="s">
        <v>67</v>
      </c>
      <c r="D47" s="85" t="s">
        <v>147</v>
      </c>
      <c r="E47" s="60" t="str">
        <f>TEXT('１８表'!E48,"0000000000")</f>
        <v>0000000000</v>
      </c>
      <c r="F47" s="60" t="str">
        <f>TEXT('１８表'!F48,"0000000000")</f>
        <v>0000000000</v>
      </c>
      <c r="G47" s="60" t="str">
        <f>TEXT('１８表'!G48,"0000000000")</f>
        <v>0000000000</v>
      </c>
      <c r="H47" s="60" t="str">
        <f>TEXT('１８表'!H48,"0000000000")</f>
        <v>0000000000</v>
      </c>
      <c r="I47" s="60" t="str">
        <f>TEXT('１８表'!I48,"0000000000")</f>
        <v>0000000000</v>
      </c>
      <c r="J47" s="60" t="str">
        <f>TEXT('１８表'!J48,"0000000000")</f>
        <v>0000000000</v>
      </c>
      <c r="K47" s="60" t="str">
        <f>TEXT('１８表'!K48,"0000000000")</f>
        <v>0000000000</v>
      </c>
      <c r="L47" s="60" t="str">
        <f>TEXT('１８表'!L48,"0000000000")</f>
        <v>0000000000</v>
      </c>
      <c r="M47" s="60" t="str">
        <f>TEXT('１８表'!M48,"0000000000")</f>
        <v>0000000000</v>
      </c>
      <c r="N47" s="60" t="str">
        <f>TEXT('１８表'!N48,"0000000000")</f>
        <v>0000000000</v>
      </c>
      <c r="O47" s="60" t="str">
        <f>TEXT('１８表'!O48,"0000000000")</f>
        <v>0000000000</v>
      </c>
      <c r="P47" s="60" t="str">
        <f>TEXT('１８表'!P48,"0000000000")</f>
        <v>0000000000</v>
      </c>
      <c r="Q47" s="19">
        <f t="shared" si="0"/>
      </c>
    </row>
    <row r="48" spans="2:17" ht="19.5" customHeight="1">
      <c r="B48" s="140"/>
      <c r="C48" s="82" t="s">
        <v>48</v>
      </c>
      <c r="D48" s="85" t="s">
        <v>148</v>
      </c>
      <c r="E48" s="60" t="str">
        <f>TEXT('１８表'!E49,"0000000000")</f>
        <v>0000000001</v>
      </c>
      <c r="F48" s="60" t="str">
        <f>TEXT('１８表'!F49,"0000000000")</f>
        <v>0000000001</v>
      </c>
      <c r="G48" s="60" t="str">
        <f>TEXT('１８表'!G49,"0000000000")</f>
        <v>0000292046</v>
      </c>
      <c r="H48" s="60" t="str">
        <f>TEXT('１８表'!H49,"0000000000")</f>
        <v>0000000000</v>
      </c>
      <c r="I48" s="60" t="str">
        <f>TEXT('１８表'!I49,"0000000000")</f>
        <v>0000000000</v>
      </c>
      <c r="J48" s="60" t="str">
        <f>TEXT('１８表'!J49,"0000000000")</f>
        <v>0000000000</v>
      </c>
      <c r="K48" s="60" t="str">
        <f>TEXT('１８表'!K49,"0000000000")</f>
        <v>0000000000</v>
      </c>
      <c r="L48" s="60" t="str">
        <f>TEXT('１８表'!L49,"0000000000")</f>
        <v>0000000000</v>
      </c>
      <c r="M48" s="60" t="str">
        <f>TEXT('１８表'!M49,"0000000000")</f>
        <v>0000000000</v>
      </c>
      <c r="N48" s="60" t="str">
        <f>TEXT('１８表'!N49,"0000000000")</f>
        <v>0000000000</v>
      </c>
      <c r="O48" s="60" t="str">
        <f>TEXT('１８表'!O49,"0000000000")</f>
        <v>0000000000</v>
      </c>
      <c r="P48" s="60" t="str">
        <f>TEXT('１８表'!P49,"0000000000")</f>
        <v>0000000000</v>
      </c>
      <c r="Q48" s="19">
        <f t="shared" si="0"/>
      </c>
    </row>
    <row r="49" spans="2:17" ht="30.75" customHeight="1">
      <c r="B49" s="140"/>
      <c r="C49" s="84" t="s">
        <v>68</v>
      </c>
      <c r="D49" s="85" t="s">
        <v>149</v>
      </c>
      <c r="E49" s="60" t="str">
        <f>TEXT('１８表'!E50,"0000000000")</f>
        <v>0000000000</v>
      </c>
      <c r="F49" s="60" t="str">
        <f>TEXT('１８表'!F50,"0000000000")</f>
        <v>0000000000</v>
      </c>
      <c r="G49" s="60" t="str">
        <f>TEXT('１８表'!G50,"0000000000")</f>
        <v>0000000000</v>
      </c>
      <c r="H49" s="60" t="str">
        <f>TEXT('１８表'!H50,"0000000000")</f>
        <v>0000000000</v>
      </c>
      <c r="I49" s="60" t="str">
        <f>TEXT('１８表'!I50,"0000000000")</f>
        <v>0000000000</v>
      </c>
      <c r="J49" s="60" t="str">
        <f>TEXT('１８表'!J50,"0000000000")</f>
        <v>0000000000</v>
      </c>
      <c r="K49" s="60" t="str">
        <f>TEXT('１８表'!K50,"0000000000")</f>
        <v>0000000000</v>
      </c>
      <c r="L49" s="60" t="str">
        <f>TEXT('１８表'!L50,"0000000000")</f>
        <v>0000000000</v>
      </c>
      <c r="M49" s="60" t="str">
        <f>TEXT('１８表'!M50,"0000000000")</f>
        <v>0000000000</v>
      </c>
      <c r="N49" s="60" t="str">
        <f>TEXT('１８表'!N50,"0000000000")</f>
        <v>0000000000</v>
      </c>
      <c r="O49" s="60" t="str">
        <f>TEXT('１８表'!O50,"0000000000")</f>
        <v>0000000000</v>
      </c>
      <c r="P49" s="60" t="str">
        <f>TEXT('１８表'!P50,"0000000000")</f>
        <v>0000000000</v>
      </c>
      <c r="Q49" s="19">
        <f t="shared" si="0"/>
      </c>
    </row>
    <row r="50" spans="2:17" ht="19.5" customHeight="1">
      <c r="B50" s="140"/>
      <c r="C50" s="82" t="s">
        <v>87</v>
      </c>
      <c r="D50" s="85" t="s">
        <v>150</v>
      </c>
      <c r="E50" s="60" t="str">
        <f>TEXT('１８表'!E51,"0000000000")</f>
        <v>0000000000</v>
      </c>
      <c r="F50" s="60" t="str">
        <f>TEXT('１８表'!F51,"0000000000")</f>
        <v>0000000000</v>
      </c>
      <c r="G50" s="60" t="str">
        <f>TEXT('１８表'!G51,"0000000000")</f>
        <v>0000000000</v>
      </c>
      <c r="H50" s="60" t="str">
        <f>TEXT('１８表'!H51,"0000000000")</f>
        <v>0000000000</v>
      </c>
      <c r="I50" s="60" t="str">
        <f>TEXT('１８表'!I51,"0000000000")</f>
        <v>0000000000</v>
      </c>
      <c r="J50" s="60" t="str">
        <f>TEXT('１８表'!J51,"0000000000")</f>
        <v>0000000000</v>
      </c>
      <c r="K50" s="60" t="str">
        <f>TEXT('１８表'!K51,"0000000000")</f>
        <v>0000000000</v>
      </c>
      <c r="L50" s="60" t="str">
        <f>TEXT('１８表'!L51,"0000000000")</f>
        <v>0000000000</v>
      </c>
      <c r="M50" s="60" t="str">
        <f>TEXT('１８表'!M51,"0000000000")</f>
        <v>0000000000</v>
      </c>
      <c r="N50" s="60" t="str">
        <f>TEXT('１８表'!N51,"0000000000")</f>
        <v>0000000000</v>
      </c>
      <c r="O50" s="60" t="str">
        <f>TEXT('１８表'!O51,"0000000000")</f>
        <v>0000000000</v>
      </c>
      <c r="P50" s="60" t="str">
        <f>TEXT('１８表'!P51,"0000000000")</f>
        <v>0000000000</v>
      </c>
      <c r="Q50" s="19">
        <f t="shared" si="0"/>
      </c>
    </row>
    <row r="51" spans="2:17" ht="19.5" customHeight="1">
      <c r="B51" s="140"/>
      <c r="C51" s="82" t="s">
        <v>49</v>
      </c>
      <c r="D51" s="85" t="s">
        <v>151</v>
      </c>
      <c r="E51" s="60" t="str">
        <f>TEXT('１８表'!E52,"0000000000")</f>
        <v>0000000005</v>
      </c>
      <c r="F51" s="60" t="str">
        <f>TEXT('１８表'!F52,"0000000000")</f>
        <v>0000000005</v>
      </c>
      <c r="G51" s="60" t="str">
        <f>TEXT('１８表'!G52,"0000000000")</f>
        <v>0000758769</v>
      </c>
      <c r="H51" s="60" t="str">
        <f>TEXT('１８表'!H52,"0000000000")</f>
        <v>0000025101</v>
      </c>
      <c r="I51" s="60" t="str">
        <f>TEXT('１８表'!I52,"0000000000")</f>
        <v>0000000000</v>
      </c>
      <c r="J51" s="60" t="str">
        <f>TEXT('１８表'!J52,"0000000000")</f>
        <v>0000000000</v>
      </c>
      <c r="K51" s="60" t="str">
        <f>TEXT('１８表'!K52,"0000000000")</f>
        <v>0000000000</v>
      </c>
      <c r="L51" s="60" t="str">
        <f>TEXT('１８表'!L52,"0000000000")</f>
        <v>0000000000</v>
      </c>
      <c r="M51" s="60" t="str">
        <f>TEXT('１８表'!M52,"0000000000")</f>
        <v>0000000004</v>
      </c>
      <c r="N51" s="60" t="str">
        <f>TEXT('１８表'!N52,"0000000000")</f>
        <v>0000000004</v>
      </c>
      <c r="O51" s="60" t="str">
        <f>TEXT('１８表'!O52,"0000000000")</f>
        <v>0000255991</v>
      </c>
      <c r="P51" s="60" t="str">
        <f>TEXT('１８表'!P52,"0000000000")</f>
        <v>0000019946</v>
      </c>
      <c r="Q51" s="19">
        <f t="shared" si="0"/>
      </c>
    </row>
    <row r="52" spans="2:17" ht="34.5" customHeight="1">
      <c r="B52" s="140"/>
      <c r="C52" s="84" t="s">
        <v>75</v>
      </c>
      <c r="D52" s="85" t="s">
        <v>152</v>
      </c>
      <c r="E52" s="60" t="str">
        <f>TEXT('１８表'!E53,"0000000000")</f>
        <v>0000000001</v>
      </c>
      <c r="F52" s="60" t="str">
        <f>TEXT('１８表'!F53,"0000000000")</f>
        <v>0000000001</v>
      </c>
      <c r="G52" s="60" t="str">
        <f>TEXT('１８表'!G53,"0000000000")</f>
        <v>0000246646</v>
      </c>
      <c r="H52" s="60" t="str">
        <f>TEXT('１８表'!H53,"0000000000")</f>
        <v>0000000000</v>
      </c>
      <c r="I52" s="60" t="str">
        <f>TEXT('１８表'!I53,"0000000000")</f>
        <v>0000000000</v>
      </c>
      <c r="J52" s="60" t="str">
        <f>TEXT('１８表'!J53,"0000000000")</f>
        <v>0000000000</v>
      </c>
      <c r="K52" s="60" t="str">
        <f>TEXT('１８表'!K53,"0000000000")</f>
        <v>0000000000</v>
      </c>
      <c r="L52" s="60" t="str">
        <f>TEXT('１８表'!L53,"0000000000")</f>
        <v>0000000000</v>
      </c>
      <c r="M52" s="60" t="str">
        <f>TEXT('１８表'!M53,"0000000000")</f>
        <v>0000000000</v>
      </c>
      <c r="N52" s="60" t="str">
        <f>TEXT('１８表'!N53,"0000000000")</f>
        <v>0000000000</v>
      </c>
      <c r="O52" s="60" t="str">
        <f>TEXT('１８表'!O53,"0000000000")</f>
        <v>0000000000</v>
      </c>
      <c r="P52" s="60" t="str">
        <f>TEXT('１８表'!P53,"0000000000")</f>
        <v>0000000000</v>
      </c>
      <c r="Q52" s="19">
        <f t="shared" si="0"/>
      </c>
    </row>
    <row r="53" spans="2:17" ht="19.5" customHeight="1">
      <c r="B53" s="140"/>
      <c r="C53" s="84" t="s">
        <v>89</v>
      </c>
      <c r="D53" s="85" t="s">
        <v>153</v>
      </c>
      <c r="E53" s="60" t="str">
        <f>TEXT('１８表'!E54,"0000000000")</f>
        <v>0000000002</v>
      </c>
      <c r="F53" s="60" t="str">
        <f>TEXT('１８表'!F54,"0000000000")</f>
        <v>0000000002</v>
      </c>
      <c r="G53" s="60" t="str">
        <f>TEXT('１８表'!G54,"0000000000")</f>
        <v>0000484221</v>
      </c>
      <c r="H53" s="60" t="str">
        <f>TEXT('１８表'!H54,"0000000000")</f>
        <v>0000037200</v>
      </c>
      <c r="I53" s="60" t="str">
        <f>TEXT('１８表'!I54,"0000000000")</f>
        <v>0000000000</v>
      </c>
      <c r="J53" s="60" t="str">
        <f>TEXT('１８表'!J54,"0000000000")</f>
        <v>0000000000</v>
      </c>
      <c r="K53" s="60" t="str">
        <f>TEXT('１８表'!K54,"0000000000")</f>
        <v>0000000000</v>
      </c>
      <c r="L53" s="60" t="str">
        <f>TEXT('１８表'!L54,"0000000000")</f>
        <v>0000000000</v>
      </c>
      <c r="M53" s="60" t="str">
        <f>TEXT('１８表'!M54,"0000000000")</f>
        <v>0000000000</v>
      </c>
      <c r="N53" s="60" t="str">
        <f>TEXT('１８表'!N54,"0000000000")</f>
        <v>0000000000</v>
      </c>
      <c r="O53" s="60" t="str">
        <f>TEXT('１８表'!O54,"0000000000")</f>
        <v>0000000000</v>
      </c>
      <c r="P53" s="60" t="str">
        <f>TEXT('１８表'!P54,"0000000000")</f>
        <v>0000000000</v>
      </c>
      <c r="Q53" s="19">
        <f t="shared" si="0"/>
      </c>
    </row>
    <row r="54" spans="2:17" ht="39.75" customHeight="1">
      <c r="B54" s="140"/>
      <c r="C54" s="82" t="s">
        <v>88</v>
      </c>
      <c r="D54" s="85" t="s">
        <v>154</v>
      </c>
      <c r="E54" s="60" t="str">
        <f>TEXT('１８表'!E55,"0000000000")</f>
        <v>0000000003</v>
      </c>
      <c r="F54" s="60" t="str">
        <f>TEXT('１８表'!F55,"0000000000")</f>
        <v>0000000003</v>
      </c>
      <c r="G54" s="60" t="str">
        <f>TEXT('１８表'!G55,"0000000000")</f>
        <v>0000431200</v>
      </c>
      <c r="H54" s="60" t="str">
        <f>TEXT('１８表'!H55,"0000000000")</f>
        <v>0000020099</v>
      </c>
      <c r="I54" s="60" t="str">
        <f>TEXT('１８表'!I55,"0000000000")</f>
        <v>0000000000</v>
      </c>
      <c r="J54" s="60" t="str">
        <f>TEXT('１８表'!J55,"0000000000")</f>
        <v>0000000000</v>
      </c>
      <c r="K54" s="60" t="str">
        <f>TEXT('１８表'!K55,"0000000000")</f>
        <v>0000000000</v>
      </c>
      <c r="L54" s="60" t="str">
        <f>TEXT('１８表'!L55,"0000000000")</f>
        <v>0000000000</v>
      </c>
      <c r="M54" s="60" t="str">
        <f>TEXT('１８表'!M55,"0000000000")</f>
        <v>0000000000</v>
      </c>
      <c r="N54" s="60" t="str">
        <f>TEXT('１８表'!N55,"0000000000")</f>
        <v>0000000000</v>
      </c>
      <c r="O54" s="60" t="str">
        <f>TEXT('１８表'!O55,"0000000000")</f>
        <v>0000000000</v>
      </c>
      <c r="P54" s="60" t="str">
        <f>TEXT('１８表'!P55,"0000000000")</f>
        <v>0000000000</v>
      </c>
      <c r="Q54" s="19">
        <f t="shared" si="0"/>
      </c>
    </row>
    <row r="55" spans="2:17" ht="19.5" customHeight="1">
      <c r="B55" s="137" t="s">
        <v>102</v>
      </c>
      <c r="C55" s="82" t="s">
        <v>50</v>
      </c>
      <c r="D55" s="85" t="s">
        <v>155</v>
      </c>
      <c r="E55" s="60" t="str">
        <f>TEXT('１８表'!E56,"0000000000")</f>
        <v>0000000000</v>
      </c>
      <c r="F55" s="60" t="str">
        <f>TEXT('１８表'!F56,"0000000000")</f>
        <v>0000000000</v>
      </c>
      <c r="G55" s="60" t="str">
        <f>TEXT('１８表'!G56,"0000000000")</f>
        <v>0000000000</v>
      </c>
      <c r="H55" s="60" t="str">
        <f>TEXT('１８表'!H56,"0000000000")</f>
        <v>0000000000</v>
      </c>
      <c r="I55" s="60" t="str">
        <f>TEXT('１８表'!I56,"0000000000")</f>
        <v>0000000000</v>
      </c>
      <c r="J55" s="60" t="str">
        <f>TEXT('１８表'!J56,"0000000000")</f>
        <v>0000000000</v>
      </c>
      <c r="K55" s="60" t="str">
        <f>TEXT('１８表'!K56,"0000000000")</f>
        <v>0000000000</v>
      </c>
      <c r="L55" s="60" t="str">
        <f>TEXT('１８表'!L56,"0000000000")</f>
        <v>0000000000</v>
      </c>
      <c r="M55" s="60" t="str">
        <f>TEXT('１８表'!M56,"0000000000")</f>
        <v>0000000000</v>
      </c>
      <c r="N55" s="60" t="str">
        <f>TEXT('１８表'!N56,"0000000000")</f>
        <v>0000000000</v>
      </c>
      <c r="O55" s="60" t="str">
        <f>TEXT('１８表'!O56,"0000000000")</f>
        <v>0000000000</v>
      </c>
      <c r="P55" s="60" t="str">
        <f>TEXT('１８表'!P56,"0000000000")</f>
        <v>0000000000</v>
      </c>
      <c r="Q55" s="19">
        <f t="shared" si="0"/>
      </c>
    </row>
    <row r="56" spans="2:17" ht="19.5" customHeight="1">
      <c r="B56" s="138"/>
      <c r="C56" s="82" t="s">
        <v>51</v>
      </c>
      <c r="D56" s="85" t="s">
        <v>156</v>
      </c>
      <c r="E56" s="60" t="str">
        <f>TEXT('１８表'!E57,"0000000000")</f>
        <v>0000000000</v>
      </c>
      <c r="F56" s="60" t="str">
        <f>TEXT('１８表'!F57,"0000000000")</f>
        <v>0000000000</v>
      </c>
      <c r="G56" s="60" t="str">
        <f>TEXT('１８表'!G57,"0000000000")</f>
        <v>0000000000</v>
      </c>
      <c r="H56" s="60" t="str">
        <f>TEXT('１８表'!H57,"0000000000")</f>
        <v>0000000000</v>
      </c>
      <c r="I56" s="60" t="str">
        <f>TEXT('１８表'!I57,"0000000000")</f>
        <v>0000000000</v>
      </c>
      <c r="J56" s="60" t="str">
        <f>TEXT('１８表'!J57,"0000000000")</f>
        <v>0000000000</v>
      </c>
      <c r="K56" s="60" t="str">
        <f>TEXT('１８表'!K57,"0000000000")</f>
        <v>0000000000</v>
      </c>
      <c r="L56" s="60" t="str">
        <f>TEXT('１８表'!L57,"0000000000")</f>
        <v>0000000000</v>
      </c>
      <c r="M56" s="60" t="str">
        <f>TEXT('１８表'!M57,"0000000000")</f>
        <v>0000000000</v>
      </c>
      <c r="N56" s="60" t="str">
        <f>TEXT('１８表'!N57,"0000000000")</f>
        <v>0000000000</v>
      </c>
      <c r="O56" s="60" t="str">
        <f>TEXT('１８表'!O57,"0000000000")</f>
        <v>0000000000</v>
      </c>
      <c r="P56" s="60" t="str">
        <f>TEXT('１８表'!P57,"0000000000")</f>
        <v>0000000000</v>
      </c>
      <c r="Q56" s="19">
        <f t="shared" si="0"/>
      </c>
    </row>
    <row r="57" spans="2:17" ht="19.5" customHeight="1">
      <c r="B57" s="138"/>
      <c r="C57" s="82" t="s">
        <v>140</v>
      </c>
      <c r="D57" s="85" t="s">
        <v>157</v>
      </c>
      <c r="E57" s="60" t="str">
        <f>TEXT('１８表'!E58,"0000000000")</f>
        <v>0000000001</v>
      </c>
      <c r="F57" s="60" t="str">
        <f>TEXT('１８表'!F58,"0000000000")</f>
        <v>0000000001</v>
      </c>
      <c r="G57" s="60" t="str">
        <f>TEXT('１８表'!G58,"0000000000")</f>
        <v>0000651824</v>
      </c>
      <c r="H57" s="60" t="str">
        <f>TEXT('１８表'!H58,"0000000000")</f>
        <v>0000000000</v>
      </c>
      <c r="I57" s="60" t="str">
        <f>TEXT('１８表'!I58,"0000000000")</f>
        <v>0000000000</v>
      </c>
      <c r="J57" s="60" t="str">
        <f>TEXT('１８表'!J58,"0000000000")</f>
        <v>0000000000</v>
      </c>
      <c r="K57" s="60" t="str">
        <f>TEXT('１８表'!K58,"0000000000")</f>
        <v>0000000000</v>
      </c>
      <c r="L57" s="60" t="str">
        <f>TEXT('１８表'!L58,"0000000000")</f>
        <v>0000000000</v>
      </c>
      <c r="M57" s="60" t="str">
        <f>TEXT('１８表'!M58,"0000000000")</f>
        <v>0000000001</v>
      </c>
      <c r="N57" s="60" t="str">
        <f>TEXT('１８表'!N58,"0000000000")</f>
        <v>0000000001</v>
      </c>
      <c r="O57" s="60" t="str">
        <f>TEXT('１８表'!O58,"0000000000")</f>
        <v>0000208640</v>
      </c>
      <c r="P57" s="60" t="str">
        <f>TEXT('１８表'!P58,"0000000000")</f>
        <v>0000000000</v>
      </c>
      <c r="Q57" s="19">
        <f t="shared" si="0"/>
      </c>
    </row>
    <row r="58" spans="2:17" ht="19.5" customHeight="1">
      <c r="B58" s="138"/>
      <c r="C58" s="82" t="s">
        <v>46</v>
      </c>
      <c r="D58" s="85" t="s">
        <v>158</v>
      </c>
      <c r="E58" s="60" t="str">
        <f>TEXT('１８表'!E59,"0000000000")</f>
        <v>0000000000</v>
      </c>
      <c r="F58" s="60" t="str">
        <f>TEXT('１８表'!F59,"0000000000")</f>
        <v>0000000000</v>
      </c>
      <c r="G58" s="60" t="str">
        <f>TEXT('１８表'!G59,"0000000000")</f>
        <v>0000000000</v>
      </c>
      <c r="H58" s="60" t="str">
        <f>TEXT('１８表'!H59,"0000000000")</f>
        <v>0000000000</v>
      </c>
      <c r="I58" s="60" t="str">
        <f>TEXT('１８表'!I59,"0000000000")</f>
        <v>0000000000</v>
      </c>
      <c r="J58" s="60" t="str">
        <f>TEXT('１８表'!J59,"0000000000")</f>
        <v>0000000000</v>
      </c>
      <c r="K58" s="60" t="str">
        <f>TEXT('１８表'!K59,"0000000000")</f>
        <v>0000000000</v>
      </c>
      <c r="L58" s="60" t="str">
        <f>TEXT('１８表'!L59,"0000000000")</f>
        <v>0000000000</v>
      </c>
      <c r="M58" s="60" t="str">
        <f>TEXT('１８表'!M59,"0000000000")</f>
        <v>0000000001</v>
      </c>
      <c r="N58" s="60" t="str">
        <f>TEXT('１８表'!N59,"0000000000")</f>
        <v>0000000001</v>
      </c>
      <c r="O58" s="60" t="str">
        <f>TEXT('１８表'!O59,"0000000000")</f>
        <v>0000010800</v>
      </c>
      <c r="P58" s="60" t="str">
        <f>TEXT('１８表'!P59,"0000000000")</f>
        <v>0000000000</v>
      </c>
      <c r="Q58" s="19">
        <f t="shared" si="0"/>
      </c>
    </row>
    <row r="59" spans="2:17" ht="33" customHeight="1">
      <c r="B59" s="138"/>
      <c r="C59" s="84" t="s">
        <v>69</v>
      </c>
      <c r="D59" s="85" t="s">
        <v>159</v>
      </c>
      <c r="E59" s="60" t="str">
        <f>TEXT('１８表'!E60,"0000000000")</f>
        <v>0000000000</v>
      </c>
      <c r="F59" s="60" t="str">
        <f>TEXT('１８表'!F60,"0000000000")</f>
        <v>0000000000</v>
      </c>
      <c r="G59" s="60" t="str">
        <f>TEXT('１８表'!G60,"0000000000")</f>
        <v>0000000000</v>
      </c>
      <c r="H59" s="60" t="str">
        <f>TEXT('１８表'!H60,"0000000000")</f>
        <v>0000000000</v>
      </c>
      <c r="I59" s="60" t="str">
        <f>TEXT('１８表'!I60,"0000000000")</f>
        <v>0000000000</v>
      </c>
      <c r="J59" s="60" t="str">
        <f>TEXT('１８表'!J60,"0000000000")</f>
        <v>0000000000</v>
      </c>
      <c r="K59" s="60" t="str">
        <f>TEXT('１８表'!K60,"0000000000")</f>
        <v>0000000000</v>
      </c>
      <c r="L59" s="60" t="str">
        <f>TEXT('１８表'!L60,"0000000000")</f>
        <v>0000000000</v>
      </c>
      <c r="M59" s="60" t="str">
        <f>TEXT('１８表'!M60,"0000000000")</f>
        <v>0000000000</v>
      </c>
      <c r="N59" s="60" t="str">
        <f>TEXT('１８表'!N60,"0000000000")</f>
        <v>0000000000</v>
      </c>
      <c r="O59" s="60" t="str">
        <f>TEXT('１８表'!O60,"0000000000")</f>
        <v>0000000000</v>
      </c>
      <c r="P59" s="60" t="str">
        <f>TEXT('１８表'!P60,"0000000000")</f>
        <v>0000000000</v>
      </c>
      <c r="Q59" s="19">
        <f t="shared" si="0"/>
      </c>
    </row>
    <row r="60" spans="2:17" ht="19.5" customHeight="1">
      <c r="B60" s="138"/>
      <c r="C60" s="82" t="s">
        <v>52</v>
      </c>
      <c r="D60" s="85" t="s">
        <v>160</v>
      </c>
      <c r="E60" s="60" t="str">
        <f>TEXT('１８表'!E61,"0000000000")</f>
        <v>0000000000</v>
      </c>
      <c r="F60" s="60" t="str">
        <f>TEXT('１８表'!F61,"0000000000")</f>
        <v>0000000000</v>
      </c>
      <c r="G60" s="60" t="str">
        <f>TEXT('１８表'!G61,"0000000000")</f>
        <v>0000000000</v>
      </c>
      <c r="H60" s="60" t="str">
        <f>TEXT('１８表'!H61,"0000000000")</f>
        <v>0000000000</v>
      </c>
      <c r="I60" s="60" t="str">
        <f>TEXT('１８表'!I61,"0000000000")</f>
        <v>0000000000</v>
      </c>
      <c r="J60" s="60" t="str">
        <f>TEXT('１８表'!J61,"0000000000")</f>
        <v>0000000000</v>
      </c>
      <c r="K60" s="60" t="str">
        <f>TEXT('１８表'!K61,"0000000000")</f>
        <v>0000000000</v>
      </c>
      <c r="L60" s="60" t="str">
        <f>TEXT('１８表'!L61,"0000000000")</f>
        <v>0000000000</v>
      </c>
      <c r="M60" s="60" t="str">
        <f>TEXT('１８表'!M61,"0000000000")</f>
        <v>0000000000</v>
      </c>
      <c r="N60" s="60" t="str">
        <f>TEXT('１８表'!N61,"0000000000")</f>
        <v>0000000000</v>
      </c>
      <c r="O60" s="60" t="str">
        <f>TEXT('１８表'!O61,"0000000000")</f>
        <v>0000000000</v>
      </c>
      <c r="P60" s="60" t="str">
        <f>TEXT('１８表'!P61,"0000000000")</f>
        <v>0000000000</v>
      </c>
      <c r="Q60" s="19">
        <f t="shared" si="0"/>
      </c>
    </row>
    <row r="61" spans="2:17" ht="19.5" customHeight="1">
      <c r="B61" s="138"/>
      <c r="C61" s="84" t="s">
        <v>96</v>
      </c>
      <c r="D61" s="85" t="s">
        <v>161</v>
      </c>
      <c r="E61" s="60" t="str">
        <f>TEXT('１８表'!E62,"0000000000")</f>
        <v>0000000001</v>
      </c>
      <c r="F61" s="60" t="str">
        <f>TEXT('１８表'!F62,"0000000000")</f>
        <v>0000000001</v>
      </c>
      <c r="G61" s="60" t="str">
        <f>TEXT('１８表'!G62,"0000000000")</f>
        <v>0000846469</v>
      </c>
      <c r="H61" s="60" t="str">
        <f>TEXT('１８表'!H62,"0000000000")</f>
        <v>0000000000</v>
      </c>
      <c r="I61" s="60" t="str">
        <f>TEXT('１８表'!I62,"0000000000")</f>
        <v>0000000000</v>
      </c>
      <c r="J61" s="60" t="str">
        <f>TEXT('１８表'!J62,"0000000000")</f>
        <v>0000000000</v>
      </c>
      <c r="K61" s="60" t="str">
        <f>TEXT('１８表'!K62,"0000000000")</f>
        <v>0000000000</v>
      </c>
      <c r="L61" s="60" t="str">
        <f>TEXT('１８表'!L62,"0000000000")</f>
        <v>0000000000</v>
      </c>
      <c r="M61" s="60" t="str">
        <f>TEXT('１８表'!M62,"0000000000")</f>
        <v>0000000000</v>
      </c>
      <c r="N61" s="60" t="str">
        <f>TEXT('１８表'!N62,"0000000000")</f>
        <v>0000000000</v>
      </c>
      <c r="O61" s="60" t="str">
        <f>TEXT('１８表'!O62,"0000000000")</f>
        <v>0000000000</v>
      </c>
      <c r="P61" s="60" t="str">
        <f>TEXT('１８表'!P62,"0000000000")</f>
        <v>0000000000</v>
      </c>
      <c r="Q61" s="19">
        <f t="shared" si="0"/>
      </c>
    </row>
    <row r="62" spans="2:17" ht="39.75" customHeight="1">
      <c r="B62" s="139"/>
      <c r="C62" s="82" t="s">
        <v>90</v>
      </c>
      <c r="D62" s="85" t="s">
        <v>162</v>
      </c>
      <c r="E62" s="60" t="str">
        <f>TEXT('１８表'!E63,"0000000000")</f>
        <v>0000000000</v>
      </c>
      <c r="F62" s="60" t="str">
        <f>TEXT('１８表'!F63,"0000000000")</f>
        <v>0000000000</v>
      </c>
      <c r="G62" s="60" t="str">
        <f>TEXT('１８表'!G63,"0000000000")</f>
        <v>0000000000</v>
      </c>
      <c r="H62" s="60" t="str">
        <f>TEXT('１８表'!H63,"0000000000")</f>
        <v>0000000000</v>
      </c>
      <c r="I62" s="60" t="str">
        <f>TEXT('１８表'!I63,"0000000000")</f>
        <v>0000000000</v>
      </c>
      <c r="J62" s="60" t="str">
        <f>TEXT('１８表'!J63,"0000000000")</f>
        <v>0000000000</v>
      </c>
      <c r="K62" s="60" t="str">
        <f>TEXT('１８表'!K63,"0000000000")</f>
        <v>0000000000</v>
      </c>
      <c r="L62" s="60" t="str">
        <f>TEXT('１８表'!L63,"0000000000")</f>
        <v>0000000000</v>
      </c>
      <c r="M62" s="60" t="str">
        <f>TEXT('１８表'!M63,"0000000000")</f>
        <v>0000000000</v>
      </c>
      <c r="N62" s="60" t="str">
        <f>TEXT('１８表'!N63,"0000000000")</f>
        <v>0000000000</v>
      </c>
      <c r="O62" s="60" t="str">
        <f>TEXT('１８表'!O63,"0000000000")</f>
        <v>0000000000</v>
      </c>
      <c r="P62" s="60" t="str">
        <f>TEXT('１８表'!P63,"0000000000")</f>
        <v>0000000000</v>
      </c>
      <c r="Q62" s="19">
        <f t="shared" si="0"/>
      </c>
    </row>
    <row r="63" spans="2:17" ht="19.5" customHeight="1">
      <c r="B63" s="141" t="s">
        <v>101</v>
      </c>
      <c r="C63" s="142"/>
      <c r="D63" s="85" t="s">
        <v>163</v>
      </c>
      <c r="E63" s="60" t="str">
        <f>TEXT('１８表'!E64,"0000000000")</f>
        <v>0000000002</v>
      </c>
      <c r="F63" s="60" t="str">
        <f>TEXT('１８表'!F64,"0000000000")</f>
        <v>0000000002</v>
      </c>
      <c r="G63" s="60" t="str">
        <f>TEXT('１８表'!G64,"0000000000")</f>
        <v>0000144665</v>
      </c>
      <c r="H63" s="60" t="str">
        <f>TEXT('１８表'!H64,"0000000000")</f>
        <v>0000007923</v>
      </c>
      <c r="I63" s="60" t="str">
        <f>TEXT('１８表'!I64,"0000000000")</f>
        <v>0000000000</v>
      </c>
      <c r="J63" s="60" t="str">
        <f>TEXT('１８表'!J64,"0000000000")</f>
        <v>0000000000</v>
      </c>
      <c r="K63" s="60" t="str">
        <f>TEXT('１８表'!K64,"0000000000")</f>
        <v>0000000000</v>
      </c>
      <c r="L63" s="60" t="str">
        <f>TEXT('１８表'!L64,"0000000000")</f>
        <v>0000000000</v>
      </c>
      <c r="M63" s="60" t="str">
        <f>TEXT('１８表'!M64,"0000000000")</f>
        <v>0000000002</v>
      </c>
      <c r="N63" s="60" t="str">
        <f>TEXT('１８表'!N64,"0000000000")</f>
        <v>0000000002</v>
      </c>
      <c r="O63" s="60" t="str">
        <f>TEXT('１８表'!O64,"0000000000")</f>
        <v>0000081592</v>
      </c>
      <c r="P63" s="60" t="str">
        <f>TEXT('１８表'!P64,"0000000000")</f>
        <v>0000000000</v>
      </c>
      <c r="Q63" s="19">
        <f t="shared" si="0"/>
      </c>
    </row>
    <row r="64" spans="2:17" ht="19.5" customHeight="1">
      <c r="B64" s="141" t="s">
        <v>70</v>
      </c>
      <c r="C64" s="142"/>
      <c r="D64" s="85" t="s">
        <v>164</v>
      </c>
      <c r="E64" s="60" t="str">
        <f>TEXT('１８表'!E65,"0000000000")</f>
        <v>0000000000</v>
      </c>
      <c r="F64" s="60" t="str">
        <f>TEXT('１８表'!F65,"0000000000")</f>
        <v>0000000000</v>
      </c>
      <c r="G64" s="60" t="str">
        <f>TEXT('１８表'!G65,"0000000000")</f>
        <v>0000000000</v>
      </c>
      <c r="H64" s="60" t="str">
        <f>TEXT('１８表'!H65,"0000000000")</f>
        <v>0000000000</v>
      </c>
      <c r="I64" s="60" t="str">
        <f>TEXT('１８表'!I65,"0000000000")</f>
        <v>0000000000</v>
      </c>
      <c r="J64" s="60" t="str">
        <f>TEXT('１８表'!J65,"0000000000")</f>
        <v>0000000000</v>
      </c>
      <c r="K64" s="60" t="str">
        <f>TEXT('１８表'!K65,"0000000000")</f>
        <v>0000000000</v>
      </c>
      <c r="L64" s="60" t="str">
        <f>TEXT('１８表'!L65,"0000000000")</f>
        <v>0000000000</v>
      </c>
      <c r="M64" s="60" t="str">
        <f>TEXT('１８表'!M65,"0000000000")</f>
        <v>0000000000</v>
      </c>
      <c r="N64" s="60" t="str">
        <f>TEXT('１８表'!N65,"0000000000")</f>
        <v>0000000000</v>
      </c>
      <c r="O64" s="60" t="str">
        <f>TEXT('１８表'!O65,"0000000000")</f>
        <v>0000000000</v>
      </c>
      <c r="P64" s="60" t="str">
        <f>TEXT('１８表'!P65,"0000000000")</f>
        <v>0000000000</v>
      </c>
      <c r="Q64" s="19">
        <f t="shared" si="0"/>
      </c>
    </row>
    <row r="65" spans="2:17" ht="19.5" customHeight="1">
      <c r="B65" s="141" t="s">
        <v>71</v>
      </c>
      <c r="C65" s="142"/>
      <c r="D65" s="85" t="s">
        <v>165</v>
      </c>
      <c r="E65" s="60" t="str">
        <f>TEXT('１８表'!E66,"0000000000")</f>
        <v>0000000000</v>
      </c>
      <c r="F65" s="60" t="str">
        <f>TEXT('１８表'!F66,"0000000000")</f>
        <v>0000000000</v>
      </c>
      <c r="G65" s="60" t="str">
        <f>TEXT('１８表'!G66,"0000000000")</f>
        <v>0000000000</v>
      </c>
      <c r="H65" s="60" t="str">
        <f>TEXT('１８表'!H66,"0000000000")</f>
        <v>0000000000</v>
      </c>
      <c r="I65" s="60" t="str">
        <f>TEXT('１８表'!I66,"0000000000")</f>
        <v>0000000000</v>
      </c>
      <c r="J65" s="60" t="str">
        <f>TEXT('１８表'!J66,"0000000000")</f>
        <v>0000000000</v>
      </c>
      <c r="K65" s="60" t="str">
        <f>TEXT('１８表'!K66,"0000000000")</f>
        <v>0000000000</v>
      </c>
      <c r="L65" s="60" t="str">
        <f>TEXT('１８表'!L66,"0000000000")</f>
        <v>0000000000</v>
      </c>
      <c r="M65" s="60" t="str">
        <f>TEXT('１８表'!M66,"0000000000")</f>
        <v>0000000000</v>
      </c>
      <c r="N65" s="60" t="str">
        <f>TEXT('１８表'!N66,"0000000000")</f>
        <v>0000000000</v>
      </c>
      <c r="O65" s="60" t="str">
        <f>TEXT('１８表'!O66,"0000000000")</f>
        <v>0000000000</v>
      </c>
      <c r="P65" s="60" t="str">
        <f>TEXT('１８表'!P66,"0000000000")</f>
        <v>0000000000</v>
      </c>
      <c r="Q65" s="19">
        <f t="shared" si="0"/>
      </c>
    </row>
    <row r="66" spans="2:17" ht="19.5" customHeight="1">
      <c r="B66" s="141" t="s">
        <v>72</v>
      </c>
      <c r="C66" s="142"/>
      <c r="D66" s="85" t="s">
        <v>166</v>
      </c>
      <c r="E66" s="60" t="str">
        <f>TEXT('１８表'!E67,"0000000000")</f>
        <v>0000000002</v>
      </c>
      <c r="F66" s="60" t="str">
        <f>TEXT('１８表'!F67,"0000000000")</f>
        <v>0000000002</v>
      </c>
      <c r="G66" s="60" t="str">
        <f>TEXT('１８表'!G67,"0000000000")</f>
        <v>0000014136</v>
      </c>
      <c r="H66" s="60" t="str">
        <f>TEXT('１８表'!H67,"0000000000")</f>
        <v>0000000744</v>
      </c>
      <c r="I66" s="60" t="str">
        <f>TEXT('１８表'!I67,"0000000000")</f>
        <v>0000000000</v>
      </c>
      <c r="J66" s="60" t="str">
        <f>TEXT('１８表'!J67,"0000000000")</f>
        <v>0000000000</v>
      </c>
      <c r="K66" s="60" t="str">
        <f>TEXT('１８表'!K67,"0000000000")</f>
        <v>0000000000</v>
      </c>
      <c r="L66" s="60" t="str">
        <f>TEXT('１８表'!L67,"0000000000")</f>
        <v>0000000000</v>
      </c>
      <c r="M66" s="60" t="str">
        <f>TEXT('１８表'!M67,"0000000000")</f>
        <v>0000000000</v>
      </c>
      <c r="N66" s="60" t="str">
        <f>TEXT('１８表'!N67,"0000000000")</f>
        <v>0000000000</v>
      </c>
      <c r="O66" s="60" t="str">
        <f>TEXT('１８表'!O67,"0000000000")</f>
        <v>0000000000</v>
      </c>
      <c r="P66" s="60" t="str">
        <f>TEXT('１８表'!P67,"0000000000")</f>
        <v>0000000000</v>
      </c>
      <c r="Q66" s="19">
        <f t="shared" si="0"/>
      </c>
    </row>
    <row r="67" spans="2:17" ht="19.5" customHeight="1">
      <c r="B67" s="141" t="s">
        <v>73</v>
      </c>
      <c r="C67" s="142"/>
      <c r="D67" s="85" t="s">
        <v>167</v>
      </c>
      <c r="E67" s="60" t="str">
        <f>TEXT('１８表'!E68,"0000000000")</f>
        <v>0000000000</v>
      </c>
      <c r="F67" s="60" t="str">
        <f>TEXT('１８表'!F68,"0000000000")</f>
        <v>0000000000</v>
      </c>
      <c r="G67" s="60" t="str">
        <f>TEXT('１８表'!G68,"0000000000")</f>
        <v>0000000000</v>
      </c>
      <c r="H67" s="60" t="str">
        <f>TEXT('１８表'!H68,"0000000000")</f>
        <v>0000000000</v>
      </c>
      <c r="I67" s="60" t="str">
        <f>TEXT('１８表'!I68,"0000000000")</f>
        <v>0000000000</v>
      </c>
      <c r="J67" s="60" t="str">
        <f>TEXT('１８表'!J68,"0000000000")</f>
        <v>0000000000</v>
      </c>
      <c r="K67" s="60" t="str">
        <f>TEXT('１８表'!K68,"0000000000")</f>
        <v>0000000000</v>
      </c>
      <c r="L67" s="60" t="str">
        <f>TEXT('１８表'!L68,"0000000000")</f>
        <v>0000000000</v>
      </c>
      <c r="M67" s="60" t="str">
        <f>TEXT('１８表'!M68,"0000000000")</f>
        <v>0000000000</v>
      </c>
      <c r="N67" s="60" t="str">
        <f>TEXT('１８表'!N68,"0000000000")</f>
        <v>0000000000</v>
      </c>
      <c r="O67" s="60" t="str">
        <f>TEXT('１８表'!O68,"0000000000")</f>
        <v>0000000000</v>
      </c>
      <c r="P67" s="60" t="str">
        <f>TEXT('１８表'!P68,"0000000000")</f>
        <v>0000000000</v>
      </c>
      <c r="Q67" s="19">
        <f t="shared" si="0"/>
      </c>
    </row>
    <row r="68" spans="2:17" ht="19.5" customHeight="1">
      <c r="B68" s="141" t="s">
        <v>74</v>
      </c>
      <c r="C68" s="142"/>
      <c r="D68" s="85" t="s">
        <v>168</v>
      </c>
      <c r="E68" s="60" t="str">
        <f>TEXT('１８表'!E69,"0000000000")</f>
        <v>0000000006</v>
      </c>
      <c r="F68" s="60" t="str">
        <f>TEXT('１８表'!F69,"0000000000")</f>
        <v>0000000006</v>
      </c>
      <c r="G68" s="60" t="str">
        <f>TEXT('１８表'!G69,"0000000000")</f>
        <v>0000046950</v>
      </c>
      <c r="H68" s="60" t="str">
        <f>TEXT('１８表'!H69,"0000000000")</f>
        <v>0000003354</v>
      </c>
      <c r="I68" s="60" t="str">
        <f>TEXT('１８表'!I69,"0000000000")</f>
        <v>0000000000</v>
      </c>
      <c r="J68" s="60" t="str">
        <f>TEXT('１８表'!J69,"0000000000")</f>
        <v>0000000000</v>
      </c>
      <c r="K68" s="60" t="str">
        <f>TEXT('１８表'!K69,"0000000000")</f>
        <v>0000000000</v>
      </c>
      <c r="L68" s="60" t="str">
        <f>TEXT('１８表'!L69,"0000000000")</f>
        <v>0000000000</v>
      </c>
      <c r="M68" s="60" t="str">
        <f>TEXT('１８表'!M69,"0000000000")</f>
        <v>0000000000</v>
      </c>
      <c r="N68" s="60" t="str">
        <f>TEXT('１８表'!N69,"0000000000")</f>
        <v>0000000000</v>
      </c>
      <c r="O68" s="60" t="str">
        <f>TEXT('１８表'!O69,"0000000000")</f>
        <v>0000000000</v>
      </c>
      <c r="P68" s="60" t="str">
        <f>TEXT('１８表'!P69,"0000000000")</f>
        <v>0000000000</v>
      </c>
      <c r="Q68" s="19">
        <f t="shared" si="0"/>
      </c>
    </row>
    <row r="69" spans="2:17" ht="19.5" customHeight="1" thickBot="1">
      <c r="B69" s="143" t="s">
        <v>76</v>
      </c>
      <c r="C69" s="144"/>
      <c r="D69" s="85" t="s">
        <v>169</v>
      </c>
      <c r="E69" s="60" t="str">
        <f>TEXT('１８表'!E70,"0000000000")</f>
        <v>0000000001</v>
      </c>
      <c r="F69" s="60" t="str">
        <f>TEXT('１８表'!F70,"0000000000")</f>
        <v>0000000001</v>
      </c>
      <c r="G69" s="60" t="str">
        <f>TEXT('１８表'!G70,"0000000000")</f>
        <v>0000618320</v>
      </c>
      <c r="H69" s="60" t="str">
        <f>TEXT('１８表'!H70,"0000000000")</f>
        <v>0000000000</v>
      </c>
      <c r="I69" s="60" t="str">
        <f>TEXT('１８表'!I70,"0000000000")</f>
        <v>0000000000</v>
      </c>
      <c r="J69" s="60" t="str">
        <f>TEXT('１８表'!J70,"0000000000")</f>
        <v>0000000000</v>
      </c>
      <c r="K69" s="60" t="str">
        <f>TEXT('１８表'!K70,"0000000000")</f>
        <v>0000000000</v>
      </c>
      <c r="L69" s="60" t="str">
        <f>TEXT('１８表'!L70,"0000000000")</f>
        <v>0000000000</v>
      </c>
      <c r="M69" s="60" t="str">
        <f>TEXT('１８表'!M70,"0000000000")</f>
        <v>0000000000</v>
      </c>
      <c r="N69" s="60" t="str">
        <f>TEXT('１８表'!N70,"0000000000")</f>
        <v>0000000000</v>
      </c>
      <c r="O69" s="60" t="str">
        <f>TEXT('１８表'!O70,"0000000000")</f>
        <v>0000000000</v>
      </c>
      <c r="P69" s="60" t="str">
        <f>TEXT('１８表'!P70,"0000000000")</f>
        <v>0000000000</v>
      </c>
      <c r="Q69" s="19">
        <f t="shared" si="0"/>
      </c>
    </row>
    <row r="70" spans="2:17" ht="19.5" customHeight="1" thickTop="1">
      <c r="B70" s="146" t="s">
        <v>77</v>
      </c>
      <c r="C70" s="147"/>
      <c r="D70" s="86" t="s">
        <v>91</v>
      </c>
      <c r="E70" s="60" t="str">
        <f>TEXT('１８表'!E71,"0000000000")</f>
        <v>0000000142</v>
      </c>
      <c r="F70" s="60" t="str">
        <f>TEXT('１８表'!F71,"0000000000")</f>
        <v>0000000142</v>
      </c>
      <c r="G70" s="60" t="str">
        <f>TEXT('１８表'!G71,"0000000000")</f>
        <v>0021901712</v>
      </c>
      <c r="H70" s="60" t="str">
        <f>TEXT('１８表'!H71,"0000000000")</f>
        <v>0000627727</v>
      </c>
      <c r="I70" s="60" t="str">
        <f>TEXT('１８表'!I71,"0000000000")</f>
        <v>0000000000</v>
      </c>
      <c r="J70" s="60" t="str">
        <f>TEXT('１８表'!J71,"0000000000")</f>
        <v>0000000000</v>
      </c>
      <c r="K70" s="60" t="str">
        <f>TEXT('１８表'!K71,"0000000000")</f>
        <v>0000000000</v>
      </c>
      <c r="L70" s="60" t="str">
        <f>TEXT('１８表'!L71,"0000000000")</f>
        <v>0000000000</v>
      </c>
      <c r="M70" s="60" t="str">
        <f>TEXT('１８表'!M71,"0000000000")</f>
        <v>0000000088</v>
      </c>
      <c r="N70" s="60" t="str">
        <f>TEXT('１８表'!N71,"0000000000")</f>
        <v>0000000088</v>
      </c>
      <c r="O70" s="60" t="str">
        <f>TEXT('１８表'!O71,"0000000000")</f>
        <v>0003565262</v>
      </c>
      <c r="P70" s="60" t="str">
        <f>TEXT('１８表'!P71,"0000000000")</f>
        <v>0000187042</v>
      </c>
      <c r="Q70" s="19">
        <f t="shared" si="0"/>
      </c>
    </row>
    <row r="71" spans="12:16" ht="13.5">
      <c r="L71" s="41"/>
      <c r="P71" s="41"/>
    </row>
    <row r="72" spans="2:8" ht="13.5">
      <c r="B72" s="42" t="s">
        <v>38</v>
      </c>
      <c r="H72" s="42" t="s">
        <v>12</v>
      </c>
    </row>
    <row r="73" spans="2:17" s="7" customFormat="1" ht="13.5">
      <c r="B73" s="7" t="s">
        <v>39</v>
      </c>
      <c r="D73" s="43"/>
      <c r="H73" s="7" t="s">
        <v>40</v>
      </c>
      <c r="Q73" s="44"/>
    </row>
    <row r="74" spans="2:17" s="7" customFormat="1" ht="13.5">
      <c r="B74" s="7" t="s">
        <v>41</v>
      </c>
      <c r="D74" s="43"/>
      <c r="H74" s="112" t="s">
        <v>42</v>
      </c>
      <c r="Q74" s="44"/>
    </row>
    <row r="75" spans="2:17" s="7" customFormat="1" ht="13.5">
      <c r="B75" s="7" t="s">
        <v>43</v>
      </c>
      <c r="D75" s="43"/>
      <c r="H75" s="7" t="s">
        <v>115</v>
      </c>
      <c r="Q75" s="44"/>
    </row>
    <row r="76" spans="2:17" s="7" customFormat="1" ht="13.5">
      <c r="B76" s="7" t="s">
        <v>44</v>
      </c>
      <c r="D76" s="43"/>
      <c r="Q76" s="44"/>
    </row>
    <row r="77" ht="13.5">
      <c r="B77" s="108" t="s">
        <v>171</v>
      </c>
    </row>
    <row r="78" spans="2:18" s="54" customFormat="1" ht="13.5">
      <c r="B78" s="51"/>
      <c r="C78" s="118">
        <f>IF(AND(E17&gt;=F17,I17&gt;=J17,M17&gt;=N17),"","(01)では申請件数≧決定件数となるので見直してください！")</f>
      </c>
      <c r="D78" s="51"/>
      <c r="E78" s="52"/>
      <c r="F78" s="51"/>
      <c r="G78" s="51"/>
      <c r="H78" s="53"/>
      <c r="I78" s="118">
        <f>IF(AND(E42&gt;=F42,I42&gt;=J42,M42&gt;=N42),"","(26)では申請件数≧決定件数となるので見直してください！")</f>
      </c>
      <c r="J78" s="51"/>
      <c r="K78" s="52"/>
      <c r="L78" s="51"/>
      <c r="M78" s="118">
        <f>IF(AND(E67&gt;=F67,I67&gt;=J67,M67&gt;=N67),"","(51)では申請件数≧決定件数となるので見直してください！")</f>
      </c>
      <c r="N78" s="51"/>
      <c r="O78" s="52"/>
      <c r="P78" s="51"/>
      <c r="Q78" s="51"/>
      <c r="R78" s="57"/>
    </row>
    <row r="79" spans="2:18" s="54" customFormat="1" ht="13.5">
      <c r="B79" s="55"/>
      <c r="C79" s="45">
        <f>IF(AND(E18&gt;=F18,I18&gt;=J18,M18&gt;=N18),"","(02)では申請件数≧決定件数となるので見直してください！")</f>
      </c>
      <c r="D79" s="55"/>
      <c r="E79" s="55"/>
      <c r="F79" s="55"/>
      <c r="G79" s="55"/>
      <c r="H79" s="55"/>
      <c r="I79" s="45">
        <f>IF(AND(E43&gt;=F43,I43&gt;=J43,M43&gt;=N43),"","(27)では申請件数≧決定件数となるので見直してください！")</f>
      </c>
      <c r="J79" s="55"/>
      <c r="K79" s="55"/>
      <c r="L79" s="55"/>
      <c r="M79" s="45">
        <f>IF(AND(E68&gt;=F68,I68&gt;=J68,M68&gt;=N68),"","(52)では申請件数≧決定件数となるので見直してください！")</f>
      </c>
      <c r="N79" s="55"/>
      <c r="O79" s="56"/>
      <c r="P79" s="55"/>
      <c r="Q79" s="55"/>
      <c r="R79" s="57"/>
    </row>
    <row r="80" spans="2:18" s="54" customFormat="1" ht="13.5">
      <c r="B80" s="55"/>
      <c r="C80" s="45">
        <f>IF(AND(E19&gt;=F19,I19&gt;=J19,M19&gt;=N19),"","(03)では申請件数≧決定件数となるので見直してください！")</f>
      </c>
      <c r="D80" s="55"/>
      <c r="E80" s="55"/>
      <c r="F80" s="55"/>
      <c r="G80" s="55"/>
      <c r="H80" s="55"/>
      <c r="I80" s="45">
        <f>IF(AND(E44&gt;=F44,I44&gt;=J44,M44&gt;=N44),"","(28)では申請件数≧決定件数となるので見直してください！")</f>
      </c>
      <c r="J80" s="55"/>
      <c r="K80" s="55"/>
      <c r="L80" s="55"/>
      <c r="M80" s="45">
        <f>IF(AND(E69&gt;=F69,I69&gt;=J69,M69&gt;=N69),"","(53)では申請件数≧決定件数となるので見直してください！")</f>
      </c>
      <c r="N80" s="55"/>
      <c r="O80" s="56"/>
      <c r="P80" s="55"/>
      <c r="Q80" s="55"/>
      <c r="R80" s="57"/>
    </row>
    <row r="81" spans="2:18" s="54" customFormat="1" ht="13.5">
      <c r="B81" s="55"/>
      <c r="C81" s="45">
        <f>IF(AND(E20&gt;=F20,I20&gt;=J20,M20&gt;=N20),"","(04)では申請件数≧決定件数となるので見直してください！")</f>
      </c>
      <c r="D81" s="55"/>
      <c r="E81" s="55"/>
      <c r="F81" s="55"/>
      <c r="G81" s="55"/>
      <c r="H81" s="55"/>
      <c r="I81" s="45">
        <f>IF(AND(E45&gt;=F45,I45&gt;=J45,M45&gt;=N45),"","(29)では申請件数≧決定件数となるので見直してください！")</f>
      </c>
      <c r="J81" s="55"/>
      <c r="K81" s="55"/>
      <c r="L81" s="55"/>
      <c r="M81" s="45">
        <f>IF(AND(E70&gt;=F70,I70&gt;=J70,M70&gt;=N70),"","(54)では申請件数≧決定件数となるので見直してください！")</f>
      </c>
      <c r="N81" s="55"/>
      <c r="O81" s="56"/>
      <c r="P81" s="55"/>
      <c r="Q81" s="55"/>
      <c r="R81" s="57"/>
    </row>
    <row r="82" spans="2:18" s="54" customFormat="1" ht="13.5">
      <c r="B82" s="55"/>
      <c r="C82" s="45">
        <f>IF(AND(E21&gt;=F21,I21&gt;=J21,M21&gt;=N21),"","(05)では申請件数≧決定件数となるので見直してください！")</f>
      </c>
      <c r="D82" s="55"/>
      <c r="E82" s="55"/>
      <c r="F82" s="55"/>
      <c r="G82" s="55"/>
      <c r="H82" s="55"/>
      <c r="I82" s="45">
        <f>IF(AND(E46&gt;=F46,I46&gt;=J46,M46&gt;=N46),"","(30)では申請件数≧決定件数となるので見直してください！")</f>
      </c>
      <c r="J82" s="55"/>
      <c r="K82" s="55"/>
      <c r="L82" s="55"/>
      <c r="M82" s="45"/>
      <c r="N82" s="55"/>
      <c r="O82" s="56"/>
      <c r="P82" s="55"/>
      <c r="Q82" s="55"/>
      <c r="R82" s="57"/>
    </row>
    <row r="83" spans="2:18" s="54" customFormat="1" ht="13.5">
      <c r="B83" s="55"/>
      <c r="C83" s="45">
        <f>IF(AND(E22&gt;=F22,I22&gt;=J22,M22&gt;=N22),"","(06)では申請件数≧決定件数となるので見直してください！")</f>
      </c>
      <c r="D83" s="55"/>
      <c r="E83" s="55"/>
      <c r="F83" s="55"/>
      <c r="G83" s="55"/>
      <c r="H83" s="55"/>
      <c r="I83" s="45">
        <f>IF(AND(E47&gt;=F47,I47&gt;=J47,M47&gt;=N47),"","(31)では申請件数≧決定件数となるので見直してください！")</f>
      </c>
      <c r="J83" s="55"/>
      <c r="K83" s="55"/>
      <c r="L83" s="55"/>
      <c r="M83" s="45"/>
      <c r="N83" s="55"/>
      <c r="O83" s="56"/>
      <c r="P83" s="55"/>
      <c r="Q83" s="55"/>
      <c r="R83" s="57"/>
    </row>
    <row r="84" spans="2:18" s="54" customFormat="1" ht="13.5">
      <c r="B84" s="55"/>
      <c r="C84" s="45">
        <f>IF(AND(E23&gt;=F23,I23&gt;=J23,M23&gt;=N23),"","(07)では申請件数≧決定件数となるので見直してください！")</f>
      </c>
      <c r="D84" s="55"/>
      <c r="E84" s="55"/>
      <c r="F84" s="55"/>
      <c r="G84" s="55"/>
      <c r="H84" s="55"/>
      <c r="I84" s="45">
        <f>IF(AND(E48&gt;=F48,I48&gt;=J48,M48&gt;=N48),"","(32)では申請件数≧決定件数となるので見直してください！")</f>
      </c>
      <c r="J84" s="55"/>
      <c r="K84" s="55"/>
      <c r="L84" s="55"/>
      <c r="M84" s="45"/>
      <c r="N84" s="55"/>
      <c r="O84" s="56"/>
      <c r="P84" s="55"/>
      <c r="Q84" s="55"/>
      <c r="R84" s="57"/>
    </row>
    <row r="85" spans="2:18" s="54" customFormat="1" ht="13.5">
      <c r="B85" s="55"/>
      <c r="C85" s="45">
        <f>IF(AND(E24&gt;=F24,I24&gt;=J24,M24&gt;=N24),"","(08)では申請件数≧決定件数となるので見直してください！")</f>
      </c>
      <c r="D85" s="55"/>
      <c r="E85" s="55"/>
      <c r="F85" s="55"/>
      <c r="G85" s="55"/>
      <c r="H85" s="55"/>
      <c r="I85" s="45">
        <f>IF(AND(E49&gt;=F49,I49&gt;=J49,M49&gt;=N49),"","(33)では申請件数≧決定件数となるので見直してください！")</f>
      </c>
      <c r="J85" s="55"/>
      <c r="K85" s="55"/>
      <c r="L85" s="55"/>
      <c r="M85" s="45"/>
      <c r="N85" s="55"/>
      <c r="O85" s="56"/>
      <c r="P85" s="55"/>
      <c r="Q85" s="55"/>
      <c r="R85" s="57"/>
    </row>
    <row r="86" spans="2:18" s="54" customFormat="1" ht="13.5">
      <c r="B86" s="55"/>
      <c r="C86" s="45">
        <f>IF(AND(E25&gt;=F25,I25&gt;=J25,M25&gt;=N25),"","(09)では申請件数≧決定件数となるので見直してください！")</f>
      </c>
      <c r="D86" s="55"/>
      <c r="E86" s="55"/>
      <c r="F86" s="55"/>
      <c r="G86" s="55"/>
      <c r="H86" s="55"/>
      <c r="I86" s="45">
        <f>IF(AND(E50&gt;=F50,I50&gt;=J50,M50&gt;=N50),"","(34)では申請件数≧決定件数となるので見直してください！")</f>
      </c>
      <c r="J86" s="55"/>
      <c r="K86" s="55"/>
      <c r="L86" s="55"/>
      <c r="M86" s="45"/>
      <c r="N86" s="55"/>
      <c r="O86" s="56"/>
      <c r="P86" s="55"/>
      <c r="Q86" s="55"/>
      <c r="R86" s="57"/>
    </row>
    <row r="87" spans="2:18" s="54" customFormat="1" ht="13.5">
      <c r="B87" s="55"/>
      <c r="C87" s="45">
        <f>IF(AND(E26&gt;=F26,I26&gt;=J26,M26&gt;=N26),"","(10)では申請件数≧決定件数となるので見直してください！")</f>
      </c>
      <c r="D87" s="55"/>
      <c r="E87" s="55"/>
      <c r="F87" s="55"/>
      <c r="G87" s="55"/>
      <c r="H87" s="55"/>
      <c r="I87" s="45">
        <f>IF(AND(E51&gt;=F51,I51&gt;=J51,M51&gt;=N51),"","(35)では申請件数≧決定件数となるので見直してください！")</f>
      </c>
      <c r="J87" s="55"/>
      <c r="K87" s="55"/>
      <c r="L87" s="55"/>
      <c r="M87" s="45"/>
      <c r="N87" s="55"/>
      <c r="O87" s="56"/>
      <c r="P87" s="55"/>
      <c r="Q87" s="55"/>
      <c r="R87" s="57"/>
    </row>
    <row r="88" spans="2:18" s="54" customFormat="1" ht="13.5">
      <c r="B88" s="55"/>
      <c r="C88" s="45">
        <f>IF(AND(E27&gt;=F27,I27&gt;=J27,M27&gt;=N27),"","(11)では申請件数≧決定件数となるので見直してください！")</f>
      </c>
      <c r="D88" s="55"/>
      <c r="E88" s="55"/>
      <c r="F88" s="55"/>
      <c r="G88" s="55"/>
      <c r="H88" s="55"/>
      <c r="I88" s="45">
        <f>IF(AND(E52&gt;=F52,I52&gt;=J52,M52&gt;=N52),"","(36)では申請件数≧決定件数となるので見直してください！")</f>
      </c>
      <c r="J88" s="55"/>
      <c r="K88" s="55"/>
      <c r="L88" s="55"/>
      <c r="M88" s="45"/>
      <c r="N88" s="55"/>
      <c r="O88" s="56"/>
      <c r="P88" s="55"/>
      <c r="Q88" s="55"/>
      <c r="R88" s="58"/>
    </row>
    <row r="89" spans="2:17" s="54" customFormat="1" ht="13.5">
      <c r="B89" s="55"/>
      <c r="C89" s="45">
        <f>IF(AND(E28&gt;=F28,I28&gt;=J28,M28&gt;=N28),"","(12)では申請件数≧決定件数となるので見直してください！")</f>
      </c>
      <c r="D89" s="55"/>
      <c r="E89" s="55"/>
      <c r="F89" s="55"/>
      <c r="G89" s="55"/>
      <c r="H89" s="55"/>
      <c r="I89" s="45">
        <f>IF(AND(E53&gt;=F53,I53&gt;=J53,M53&gt;=N53),"","(37)では申請件数≧決定件数となるので見直してください！")</f>
      </c>
      <c r="J89" s="55"/>
      <c r="K89" s="55"/>
      <c r="L89" s="55"/>
      <c r="M89" s="45"/>
      <c r="N89" s="55"/>
      <c r="O89" s="55"/>
      <c r="P89" s="55"/>
      <c r="Q89" s="55"/>
    </row>
    <row r="90" spans="2:17" s="54" customFormat="1" ht="13.5">
      <c r="B90" s="55"/>
      <c r="C90" s="45">
        <f>IF(AND(E29&gt;=F29,I29&gt;=J29,M29&gt;=N29),"","(13)では申請件数≧決定件数となるので見直してください！")</f>
      </c>
      <c r="D90" s="55"/>
      <c r="E90" s="55"/>
      <c r="F90" s="55"/>
      <c r="G90" s="55"/>
      <c r="H90" s="55"/>
      <c r="I90" s="45">
        <f>IF(AND(E54&gt;=F54,I54&gt;=J54,M54&gt;=N54),"","(38)では申請件数≧決定件数となるので見直してください！")</f>
      </c>
      <c r="J90" s="55"/>
      <c r="K90" s="55"/>
      <c r="L90" s="55"/>
      <c r="M90" s="45"/>
      <c r="N90" s="55"/>
      <c r="O90" s="55"/>
      <c r="P90" s="55"/>
      <c r="Q90" s="55"/>
    </row>
    <row r="91" spans="2:17" s="54" customFormat="1" ht="13.5">
      <c r="B91" s="55"/>
      <c r="C91" s="45">
        <f>IF(AND(E30&gt;=F30,I30&gt;=J30,M30&gt;=N30),"","(14)では申請件数≧決定件数となるので見直してください！")</f>
      </c>
      <c r="D91" s="55"/>
      <c r="E91" s="55"/>
      <c r="F91" s="55"/>
      <c r="G91" s="55"/>
      <c r="H91" s="55"/>
      <c r="I91" s="45">
        <f>IF(AND(E55&gt;=F55,I55&gt;=J55,M55&gt;=N55),"","(39)では申請件数≧決定件数となるので見直してください！")</f>
      </c>
      <c r="J91" s="55"/>
      <c r="K91" s="55"/>
      <c r="L91" s="55"/>
      <c r="M91" s="45"/>
      <c r="N91" s="55"/>
      <c r="O91" s="55"/>
      <c r="P91" s="55"/>
      <c r="Q91" s="55"/>
    </row>
    <row r="92" spans="2:17" s="54" customFormat="1" ht="13.5">
      <c r="B92" s="55"/>
      <c r="C92" s="45">
        <f>IF(AND(E31&gt;=F31,I31&gt;=J31,M31&gt;=N31),"","(15)では申請件数≧決定件数となるので見直してください！")</f>
      </c>
      <c r="D92" s="55"/>
      <c r="E92" s="55"/>
      <c r="F92" s="55"/>
      <c r="G92" s="55"/>
      <c r="H92" s="55"/>
      <c r="I92" s="45">
        <f>IF(AND(E56&gt;=F56,I56&gt;=J56,M56&gt;=N56),"","(40)では申請件数≧決定件数となるので見直してください！")</f>
      </c>
      <c r="J92" s="55"/>
      <c r="K92" s="55"/>
      <c r="L92" s="55"/>
      <c r="M92" s="45"/>
      <c r="N92" s="55"/>
      <c r="O92" s="55"/>
      <c r="P92" s="55"/>
      <c r="Q92" s="55"/>
    </row>
    <row r="93" spans="2:17" s="54" customFormat="1" ht="13.5">
      <c r="B93" s="55"/>
      <c r="C93" s="45">
        <f>IF(AND(E32&gt;=F32,I32&gt;=J32,M32&gt;=N32),"","(16)では申請件数≧決定件数となるので見直してください！")</f>
      </c>
      <c r="D93" s="55"/>
      <c r="E93" s="55"/>
      <c r="F93" s="55"/>
      <c r="G93" s="55"/>
      <c r="H93" s="55"/>
      <c r="I93" s="45">
        <f>IF(AND(E57&gt;=F57,I57&gt;=J57,M57&gt;=N57),"","(41)では申請件数≧決定件数となるので見直してください！")</f>
      </c>
      <c r="J93" s="55"/>
      <c r="K93" s="55"/>
      <c r="L93" s="55"/>
      <c r="M93" s="45"/>
      <c r="N93" s="55"/>
      <c r="O93" s="55"/>
      <c r="P93" s="55"/>
      <c r="Q93" s="55"/>
    </row>
    <row r="94" spans="2:17" s="54" customFormat="1" ht="13.5">
      <c r="B94" s="55"/>
      <c r="C94" s="45">
        <f>IF(AND(E33&gt;=F33,I33&gt;=J33,M33&gt;=N33),"","(17)では申請件数≧決定件数となるので見直してください！")</f>
      </c>
      <c r="D94" s="55"/>
      <c r="E94" s="55"/>
      <c r="F94" s="55"/>
      <c r="G94" s="55"/>
      <c r="H94" s="55"/>
      <c r="I94" s="45">
        <f>IF(AND(E58&gt;=F58,I58&gt;=J58,M58&gt;=N58),"","(42)では申請件数≧決定件数となるので見直してください！")</f>
      </c>
      <c r="J94" s="55"/>
      <c r="K94" s="55"/>
      <c r="L94" s="55"/>
      <c r="M94" s="45"/>
      <c r="N94" s="55"/>
      <c r="O94" s="55"/>
      <c r="P94" s="55"/>
      <c r="Q94" s="55"/>
    </row>
    <row r="95" spans="2:17" s="54" customFormat="1" ht="13.5">
      <c r="B95" s="55"/>
      <c r="C95" s="45">
        <f>IF(AND(E34&gt;=F34,I34&gt;=J34,M34&gt;=N34),"","(18)では申請件数≧決定件数となるので見直してください！")</f>
      </c>
      <c r="D95" s="55"/>
      <c r="E95" s="55"/>
      <c r="F95" s="55"/>
      <c r="G95" s="55"/>
      <c r="H95" s="55"/>
      <c r="I95" s="45">
        <f>IF(AND(E59&gt;=F59,I59&gt;=J59,M59&gt;=N59),"","(43)では申請件数≧決定件数となるので見直してください！")</f>
      </c>
      <c r="J95" s="55"/>
      <c r="K95" s="55"/>
      <c r="L95" s="55"/>
      <c r="M95" s="45"/>
      <c r="N95" s="55"/>
      <c r="O95" s="55"/>
      <c r="P95" s="55"/>
      <c r="Q95" s="55"/>
    </row>
    <row r="96" spans="2:17" s="54" customFormat="1" ht="13.5">
      <c r="B96" s="55"/>
      <c r="C96" s="45">
        <f>IF(AND(E35&gt;=F35,I35&gt;=J35,M35&gt;=N35),"","(19)では申請件数≧決定件数となるので見直してください！")</f>
      </c>
      <c r="D96" s="55"/>
      <c r="E96" s="55"/>
      <c r="F96" s="55"/>
      <c r="G96" s="55"/>
      <c r="H96" s="55"/>
      <c r="I96" s="45">
        <f>IF(AND(E60&gt;=F60,I60&gt;=J60,M60&gt;=N60),"","(44)では申請件数≧決定件数となるので見直してください！")</f>
      </c>
      <c r="J96" s="55"/>
      <c r="K96" s="55"/>
      <c r="L96" s="55"/>
      <c r="M96" s="45"/>
      <c r="N96" s="55"/>
      <c r="O96" s="55"/>
      <c r="P96" s="55"/>
      <c r="Q96" s="55"/>
    </row>
    <row r="97" spans="2:17" s="54" customFormat="1" ht="13.5">
      <c r="B97" s="55"/>
      <c r="C97" s="45">
        <f>IF(AND(E36&gt;=F36,I36&gt;=J36,M36&gt;=N36),"","(20)では申請件数≧決定件数となるので見直してください！")</f>
      </c>
      <c r="D97" s="55"/>
      <c r="E97" s="55"/>
      <c r="F97" s="55"/>
      <c r="G97" s="55"/>
      <c r="H97" s="55"/>
      <c r="I97" s="45">
        <f>IF(AND(E61&gt;=F61,I61&gt;=J61,M61&gt;=N61),"","(45)では申請件数≧決定件数となるので見直してください！")</f>
      </c>
      <c r="J97" s="55"/>
      <c r="K97" s="55"/>
      <c r="L97" s="55"/>
      <c r="M97" s="45"/>
      <c r="N97" s="55"/>
      <c r="O97" s="55"/>
      <c r="P97" s="55"/>
      <c r="Q97" s="55"/>
    </row>
    <row r="98" spans="2:17" s="54" customFormat="1" ht="13.5">
      <c r="B98" s="55"/>
      <c r="C98" s="45">
        <f>IF(AND(E37&gt;=F37,I37&gt;=J37,M37&gt;=N37),"","(21)では申請件数≧決定件数となるので見直してください！")</f>
      </c>
      <c r="D98" s="55"/>
      <c r="E98" s="55"/>
      <c r="F98" s="55"/>
      <c r="G98" s="55"/>
      <c r="H98" s="55"/>
      <c r="I98" s="45">
        <f>IF(AND(E62&gt;=F62,I62&gt;=J62,M62&gt;=N62),"","(46)では申請件数≧決定件数となるので見直してください！")</f>
      </c>
      <c r="J98" s="55"/>
      <c r="K98" s="55"/>
      <c r="L98" s="55"/>
      <c r="M98" s="45"/>
      <c r="N98" s="55"/>
      <c r="O98" s="55"/>
      <c r="P98" s="55"/>
      <c r="Q98" s="55"/>
    </row>
    <row r="99" spans="2:17" s="54" customFormat="1" ht="13.5">
      <c r="B99" s="55"/>
      <c r="C99" s="45">
        <f>IF(AND(E38&gt;=F38,I38&gt;=J38,M38&gt;=N38),"","(22)では申請件数≧決定件数となるので見直してください！")</f>
      </c>
      <c r="D99" s="55"/>
      <c r="E99" s="55"/>
      <c r="F99" s="55"/>
      <c r="G99" s="55"/>
      <c r="H99" s="55"/>
      <c r="I99" s="45">
        <f>IF(AND(E63&gt;=F63,I63&gt;=J63,M63&gt;=N63),"","(47)では申請件数≧決定件数となるので見直してください！")</f>
      </c>
      <c r="J99" s="55"/>
      <c r="K99" s="55"/>
      <c r="L99" s="55"/>
      <c r="M99" s="45"/>
      <c r="N99" s="55"/>
      <c r="O99" s="55"/>
      <c r="P99" s="55"/>
      <c r="Q99" s="55"/>
    </row>
    <row r="100" spans="2:17" s="54" customFormat="1" ht="13.5">
      <c r="B100" s="55"/>
      <c r="C100" s="45">
        <f>IF(AND(E39&gt;=F39,I39&gt;=J39,M39&gt;=N39),"","(23)では申請件数≧決定件数となるので見直してください！")</f>
      </c>
      <c r="D100" s="55"/>
      <c r="E100" s="55"/>
      <c r="F100" s="55"/>
      <c r="G100" s="55"/>
      <c r="H100" s="55"/>
      <c r="I100" s="45">
        <f>IF(AND(E64&gt;=F64,I64&gt;=J64,M64&gt;=N64),"","(47)では申請件数≧決定件数となるので見直してください！")</f>
      </c>
      <c r="J100" s="55"/>
      <c r="K100" s="55"/>
      <c r="L100" s="55"/>
      <c r="M100" s="45"/>
      <c r="N100" s="55"/>
      <c r="O100" s="55"/>
      <c r="P100" s="55"/>
      <c r="Q100" s="55"/>
    </row>
    <row r="101" spans="2:17" s="54" customFormat="1" ht="13.5">
      <c r="B101" s="55"/>
      <c r="C101" s="45">
        <f>IF(AND(E40&gt;=F40,I40&gt;=J40,M40&gt;=N40),"","(24)では申請件数≧決定件数となるので見直してください！")</f>
      </c>
      <c r="D101" s="55"/>
      <c r="E101" s="55"/>
      <c r="F101" s="55"/>
      <c r="G101" s="55"/>
      <c r="H101" s="55"/>
      <c r="I101" s="45">
        <f>IF(AND(E65&gt;=F65,I65&gt;=J65,M65&gt;=N65),"","(49)では申請件数≧決定件数となるので見直してください！")</f>
      </c>
      <c r="J101" s="55"/>
      <c r="K101" s="55"/>
      <c r="L101" s="55"/>
      <c r="M101" s="45"/>
      <c r="N101" s="55"/>
      <c r="O101" s="55"/>
      <c r="P101" s="55"/>
      <c r="Q101" s="55"/>
    </row>
    <row r="102" spans="2:17" s="54" customFormat="1" ht="13.5">
      <c r="B102" s="55"/>
      <c r="C102" s="119">
        <f>IF(AND(E41&gt;=F41,I41&gt;=J41,M41&gt;=N41),"","(25)では申請件数≧決定件数となるので見直してください！")</f>
      </c>
      <c r="D102" s="55"/>
      <c r="E102" s="55"/>
      <c r="F102" s="55"/>
      <c r="G102" s="55"/>
      <c r="H102" s="55"/>
      <c r="I102" s="119">
        <f>IF(AND(E66&gt;=F66,I66&gt;=J66,M66&gt;=N66),"","(50)では申請件数≧決定件数となるので見直してください！")</f>
      </c>
      <c r="J102" s="55"/>
      <c r="K102" s="55"/>
      <c r="L102" s="55"/>
      <c r="M102" s="45"/>
      <c r="N102" s="55"/>
      <c r="O102" s="55"/>
      <c r="P102" s="55"/>
      <c r="Q102" s="55"/>
    </row>
    <row r="103" spans="2:17" s="54" customFormat="1" ht="13.5">
      <c r="B103" s="55"/>
      <c r="C103" s="45">
        <f>IF(AND(E42&gt;=F42,I42&gt;=J42,M42&gt;=N42),"","(26)では申請件数≧決定件数となるので見直してください！")</f>
      </c>
      <c r="D103" s="55"/>
      <c r="E103" s="55"/>
      <c r="F103" s="55"/>
      <c r="G103" s="55"/>
      <c r="H103" s="55"/>
      <c r="I103" s="55"/>
      <c r="J103" s="55"/>
      <c r="K103" s="55"/>
      <c r="L103" s="55"/>
      <c r="M103" s="45"/>
      <c r="N103" s="55"/>
      <c r="O103" s="55"/>
      <c r="P103" s="55"/>
      <c r="Q103" s="55"/>
    </row>
    <row r="104" spans="2:17" s="54" customFormat="1" ht="13.5">
      <c r="B104" s="55"/>
      <c r="C104" s="55"/>
      <c r="D104" s="55"/>
      <c r="E104" s="55"/>
      <c r="F104" s="55"/>
      <c r="G104" s="55"/>
      <c r="H104" s="55"/>
      <c r="I104" s="55"/>
      <c r="J104" s="55"/>
      <c r="K104" s="55"/>
      <c r="L104" s="55"/>
      <c r="M104" s="45"/>
      <c r="N104" s="55"/>
      <c r="O104" s="55"/>
      <c r="P104" s="55"/>
      <c r="Q104" s="55"/>
    </row>
    <row r="105" spans="2:17" s="54" customFormat="1" ht="13.5">
      <c r="B105" s="55"/>
      <c r="C105" s="55"/>
      <c r="D105" s="55"/>
      <c r="E105" s="55"/>
      <c r="F105" s="55"/>
      <c r="G105" s="55"/>
      <c r="H105" s="55"/>
      <c r="I105" s="55"/>
      <c r="J105" s="55"/>
      <c r="K105" s="55"/>
      <c r="L105" s="55"/>
      <c r="M105" s="55"/>
      <c r="N105" s="55"/>
      <c r="O105" s="55"/>
      <c r="P105" s="55"/>
      <c r="Q105" s="55"/>
    </row>
    <row r="106" spans="2:17" s="54" customFormat="1" ht="13.5">
      <c r="B106" s="55"/>
      <c r="D106" s="55"/>
      <c r="E106" s="55"/>
      <c r="F106" s="55"/>
      <c r="G106" s="55"/>
      <c r="H106" s="55"/>
      <c r="I106" s="55"/>
      <c r="J106" s="55"/>
      <c r="K106" s="55"/>
      <c r="L106" s="55"/>
      <c r="M106" s="55"/>
      <c r="N106" s="55"/>
      <c r="O106" s="55"/>
      <c r="P106" s="55"/>
      <c r="Q106" s="55"/>
    </row>
    <row r="107" spans="1:19" s="61" customFormat="1" ht="13.5">
      <c r="A107" s="61" t="str">
        <f>CONCATENATE(B6,C6,E17,F17,G17,H17,I17,J17,K17,L17,M17,N17,O17,P17,E18,F18,G18,H18,I18,J18,K18,L18,M18,N18,O18,P18)&amp;CONCATENATE(E19,F19,G19,H19,I19,J19,K19,L19,M19,N19,O19,P19,E20,F20,G20,H20,I20,J20,K20,L20,M20,N20,O20,P20)&amp;CONCATENATE(E21,F21,G21,H21,I21,J21,K21,L21,M21,N21,O21,P21,E22,F22,G22,H22,I22,J22,K22,L22,M22,N22,O22,P22)&amp;CONCATENATE(E23,F23,G23,H23,I23,J23,K23,L23,M23,N23,O23,P23,E24,F24,G24,H24,I24,J25,K24,L24,M24,N24,O24,P24)&amp;CONCATENATE(E25,F25,G25,H25,I25,J25,K25,L25,M25,N25,O25,P25,E26,F26,G26,H26,I26,J26,K26,L26,M26,N26,O26,P26)</f>
        <v>30001800000000000000100000000010000133660000001485200000000000000000000000000000000000000000000000001000000000100000904990000010056000000000600000000060002133688000003720000000000000000000000000000000000000000000000000004000000000400007830890000018600000000002400000000240001248403000005189700000000000000000000000000000000000000000000000013000000001300001339030000007742000000000900000000090001263105000005580000000000000000000000000000000000000000000000000005000000000500000497770000000000000000000000000000000000000000000000000000000000000000000000000000000000000000000000000000000000000000000000000000000000000000000000000000000000000000000000000000000000000000000000000000000000000000000000000000000000000000000000000000000000000000000900000000090004202493000007440000000000000000000000000000000000000000000000000000000000000000000000000000000000000000000100000000010001136576000000000000000000000000000000000000000000000000000000000002000000000200001042120000000000000000000700000000070002581837000007440000000000000000000000000000000000000000000000000004000000000400002835360000020969000000001000000000100000058292000000160600000000000000000000000000000000000000000000000001000000000100000031000000000000</v>
      </c>
      <c r="C107" s="62"/>
      <c r="D107" s="63"/>
      <c r="E107" s="64"/>
      <c r="F107" s="64"/>
      <c r="G107" s="64"/>
      <c r="H107" s="64"/>
      <c r="I107" s="64"/>
      <c r="J107" s="64"/>
      <c r="K107" s="65"/>
      <c r="L107" s="64"/>
      <c r="M107" s="64"/>
      <c r="N107" s="64"/>
      <c r="O107" s="65"/>
      <c r="P107" s="64"/>
      <c r="S107" s="66"/>
    </row>
    <row r="108" spans="1:19" s="61" customFormat="1" ht="13.5">
      <c r="A108" s="61" t="str">
        <f>CONCATENATE(E27,F27,G27,H27,I27,J27,K27,L27,M27,N27,O27,P27,E28,F28,G28,H28,I28,J28,K28,L28,M28,N28,O28,P28)&amp;CONCATENATE(E29,F29,G29,H29,I29,J29,K29,L29,M29,N29,O29,P29,E30,F30,G30,H30,I30,J30,K30,L30,M30,N30,O30,P30)&amp;CONCATENATE(E31,F31,G31,H31,I31,J30,K30,L30,M31,N31,O31,P31,E32,F32,G32,H32,I32,J32,K32,L32,M32,N32,O32,P32)&amp;CONCATENATE(E33,F33,G33,H33,I33,J33,K33,L33,M33,N33,O33,P33,E34,F34,G34,H34,I34,J34,K34,L34,M34,N34,O34,P34)&amp;CONCATENATE(E35,F35,G35,H35,I35,J35,K35,L35,M35,N35,O35,P35,E36,F36,G36,H36,I36,J36,K36,L36,M36,N36,O36,P36)</f>
        <v>0000000000000000000000000000000000000000000000000000000000000000000000000000000000000000000000000000000000000000000000000000000003000000000300002507340000008646000000000000000000000000000000000000000000000000000000000000000000000000000000000000000004000000000400001097350000005906000000000000000000000000000000000000000000000000000000000000000000000000000000000000000004000000000400000846560000003585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5841000000000000000000000000000000000000000000000000000000000001000000000100000111710000000000000000001100000000110000573249000000961200000000000000000000000000000000000000000000000006000000000600001070900000010714000000000100000000010000058478000000000000000000000000000000000000000000000000000000000000000000000000000000000000000000000000001300000000130001000165000006477300000000000000000000000000000000000000000000000016000000001600003978950000031546</v>
      </c>
      <c r="C108" s="62"/>
      <c r="D108" s="63"/>
      <c r="E108" s="64"/>
      <c r="F108" s="64"/>
      <c r="G108" s="64"/>
      <c r="H108" s="64"/>
      <c r="I108" s="64"/>
      <c r="J108" s="64"/>
      <c r="K108" s="65"/>
      <c r="L108" s="64"/>
      <c r="M108" s="64"/>
      <c r="N108" s="64"/>
      <c r="O108" s="65"/>
      <c r="P108" s="64"/>
      <c r="S108" s="66"/>
    </row>
    <row r="109" spans="1:19" s="61" customFormat="1" ht="13.5">
      <c r="A109" s="61" t="str">
        <f>CONCATENATE(E37,F37,G37,H37,I37,J37,K37,L37,M37,N37,O37,P37,E38,F38,G38,H38,I38,J38,K38,L38,M38,N38,O38,P38)&amp;CONCATENATE(E39,F39,G39,H39,I39,J39,K39,L39,M39,N39,O39,P39,E40,F40,G40,H40,I40,J40,K40,L40,M40,N40,O40,P40)&amp;CONCATENATE(E41,F41,G41,H41,I41,J41,K41,L41,M41,N41,O41,P41,E42,F42,G42,H42,I42,J42,K42,L42,M42,N42,O42,P42)&amp;CONCATENATE(E43,F43,G43,H43,I43,J43,K43,L43,M43,N43,O43,P43,E44,F44,G44,H44,I44,J44,K44,L44,M44,N44,O44,P44)&amp;CONCATENATE(E45,F45,G45,H45,I45,J45,K45,L45,M45,N45,O45,P45,E46,F46,G46,H46,I46,J46,K46,L46,M46,N46,O46,P46)</f>
        <v>000000000000000000000000000000000000000000000000000000000000000000000000000000000000000000000000000000000000000000000000000000000000000000000000000000000000000000000000000000000000000000000000000000000000000001000000000100000047160000000524000000000000000000000000000000000000000000000000000000000000000000000000000000000000000000000000000000000000000000000000000000000000000000000000000000000000000000000000000000000000000000000000000000000000000000000000000000000000000000000000000000001300000000130002495554000013062900000000000000000000000000000000000000000000000025000000002500010155670000066945000000000000000000000000000000000000000000000000000000000000000000000000000000000000000000000000000000000000000000000000000000000000000000000000000000000000000000000000000000000000000000000000000000000000000001000000000100000236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9" s="62"/>
      <c r="D109" s="63"/>
      <c r="E109" s="64"/>
      <c r="F109" s="64"/>
      <c r="G109" s="64"/>
      <c r="H109" s="64"/>
      <c r="I109" s="64"/>
      <c r="J109" s="64"/>
      <c r="K109" s="65"/>
      <c r="L109" s="64"/>
      <c r="M109" s="64"/>
      <c r="N109" s="64"/>
      <c r="O109" s="65"/>
      <c r="P109" s="64"/>
      <c r="S109" s="66"/>
    </row>
    <row r="110" spans="1:19" s="61" customFormat="1" ht="13.5">
      <c r="A110" s="61" t="str">
        <f>CONCATENATE(E47,F47,G47,H47,I47,J47,K47,L47,M47,N47,O47,P47,E48,F48,G48,H48,I48,J48,K48,L48,M48,N48,O48,P48)&amp;CONCATENATE(E49,F49,G49,H49,I49,J49,K49,L49,M49,N49,O49,P49,E50,F50,G50,H50,I50,J50,K50,L50,M50,N50,O50,P50)&amp;CONCATENATE(E51,F51,G51,H51,I51,J51,K51,L51,M51,N51,O51,P51,E52,F52,G52,H52,I52,J52,K52,L52,M52,N52,O52,P52)&amp;CONCATENATE(E53,F53,G53,H53,I53,J53,K53,L53,M53,N53,O53,P53,E54,F54,G54,H54,I54,J54,K54,L54,M54,N54,O54,P54)&amp;CONCATENATE(E55,F55,G55,H55,I55,J55,K55,L55,M55,N55,O55,P55,E56,F56,G56,H56,I56,J56,K56,L56,M56,N56,O56,P56)</f>
        <v>00000000000000000000000000000000000000000000000000000000000000000000000000000000000000000000000000000000000000000000000000000000010000000001000029204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075876900000251010000000000000000000000000000000000000000000000000400000000040000255991000001994600000000010000000001000024664600000000000000000000000000000000000000000000000000000000000000000000000000000000000000000000000000020000000002000048422100000372000000000000000000000000000000000000000000000000000000000000000000000000000000000000000000030000000003000043120000000200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0" s="62"/>
      <c r="D110" s="63"/>
      <c r="E110" s="64"/>
      <c r="F110" s="64"/>
      <c r="G110" s="64"/>
      <c r="H110" s="64"/>
      <c r="I110" s="64"/>
      <c r="J110" s="64"/>
      <c r="K110" s="65"/>
      <c r="L110" s="64"/>
      <c r="M110" s="64"/>
      <c r="N110" s="64"/>
      <c r="O110" s="65"/>
      <c r="P110" s="64"/>
      <c r="S110" s="66"/>
    </row>
    <row r="111" spans="1:19" s="61" customFormat="1" ht="13.5">
      <c r="A111" s="61" t="str">
        <f>CONCATENATE(E57,F57,G57,H57,I57,J57,K57,L57,M57,N57,O57,P57,E58,F58,G58,H58,I58,J58,K58,L58,M58,N58,O58,P58)&amp;CONCATENATE(E59,F59,G59,H59,I59,J59,K59,L59,M59,N59,O59,P59,E60,F60,G60,H60,I60,J60,K60,L60,M60,N60,O60,P60)&amp;CONCATENATE(E61,F61,G61,H61,I61,J61,K61,L61,M61,N61,O61,P61,E62,F62,G62,H62,I62,J62,K62,L62,M62,N62,O62,P62)&amp;CONCATENATE(E63,F63,G63,H63,I63,J63,K63,L63,M63,N63,O63,P63,E64,F64,G64,H64,I64,J64,K64,L64,M64,N64,O64,P64)&amp;CONCATENATE(E65,F65,G65,H65,I65,J65,K65,L65,M65,N65,O65,P65,E66,F66,G66,H66,I66,J66,K66,L66,M66,N66,O66,P66)</f>
        <v>000000000100000000010000651824000000000000000000000000000000000000000000000000000000000001000000000100002086400000000000000000000000000000000000000000000000000000000000000000000000000000000000000000000000000001000000000100000108000000000000000000000000000000000000000000000000000000000000000000000000000000000000000000000000000000000000000000000000000000000000000000000000000000000000000000000000000000000000000000000000000000000000000000000000000000000000000000000000000000000000000000000100000000010000846469000000000000000000000000000000000000000000000000000000000000000000000000000000000000000000000000000000000000000000000000000000000000000000000000000000000000000000000000000000000000000000000000000000000000000000000000000200000000020000144665000000792300000000000000000000000000000000000000000000000002000000000200000815920000000000000000000000000000000000000000000000000000000000000000000000000000000000000000000000000000000000000000000000000000000000000000000000000000000000000000000000000000000000000000000000000000000000000000000000000000000000000000000000000000000000000000000200000000020000014136000000074400000000000000000000000000000000000000000000000000000000000000000000000000000000</v>
      </c>
      <c r="C111" s="62"/>
      <c r="D111" s="63"/>
      <c r="E111" s="64"/>
      <c r="F111" s="64"/>
      <c r="G111" s="64"/>
      <c r="H111" s="64"/>
      <c r="I111" s="64"/>
      <c r="J111" s="64"/>
      <c r="K111" s="65"/>
      <c r="L111" s="64"/>
      <c r="M111" s="64"/>
      <c r="N111" s="64"/>
      <c r="O111" s="65"/>
      <c r="P111" s="64"/>
      <c r="S111" s="66"/>
    </row>
    <row r="112" spans="1:19" s="61" customFormat="1" ht="13.5">
      <c r="A112" s="61" t="str">
        <f>CONCATENATE(E67,F67,G67,H67,I67,J67,K67,L67,M67,N67,O67,P67,E68,F68,G68,H68,I68,J68,K68,L68,M68,N68,O68,P68)&amp;CONCATENATE(E69,F69,G69,H69,I69,J69,K69,L69,M69,N69,O69,P69,E70,F70,G70,H70,I70,J70,K70,L70,M70,N70,O70,P70)</f>
        <v>000000000000000000000000000000000000000000000000000000000000000000000000000000000000000000000000000000000000000000000000000000000600000000060000046950000000335400000000000000000000000000000000000000000000000000000000000000000000000000000000000000000100000000010000618320000000000000000000000000000000000000000000000000000000000000000000000000000000000000000000000000014200000001420021901712000062772700000000000000000000000000000000000000000000000088000000008800035652620000187042</v>
      </c>
      <c r="C112" s="62"/>
      <c r="D112" s="63"/>
      <c r="E112" s="64"/>
      <c r="F112" s="64"/>
      <c r="G112" s="64"/>
      <c r="H112" s="64"/>
      <c r="I112" s="64"/>
      <c r="J112" s="64"/>
      <c r="K112" s="65"/>
      <c r="L112" s="64"/>
      <c r="M112" s="64"/>
      <c r="N112" s="64"/>
      <c r="O112" s="65"/>
      <c r="P112" s="64"/>
      <c r="S112" s="66"/>
    </row>
    <row r="113" spans="2:19" ht="13.5">
      <c r="B113" s="72">
        <f>LEN(A1)</f>
        <v>6491</v>
      </c>
      <c r="C113" s="67"/>
      <c r="D113" s="68"/>
      <c r="E113" s="69"/>
      <c r="F113" s="69"/>
      <c r="G113" s="69"/>
      <c r="H113" s="69"/>
      <c r="I113" s="69"/>
      <c r="J113" s="69"/>
      <c r="K113" s="70"/>
      <c r="L113" s="69"/>
      <c r="M113" s="69"/>
      <c r="N113" s="69"/>
      <c r="O113" s="70"/>
      <c r="P113" s="69"/>
      <c r="S113" s="71"/>
    </row>
    <row r="114" spans="3:19" ht="13.5">
      <c r="C114" s="67"/>
      <c r="D114" s="68"/>
      <c r="E114" s="69"/>
      <c r="F114" s="69"/>
      <c r="G114" s="69"/>
      <c r="H114" s="69"/>
      <c r="I114" s="69"/>
      <c r="J114" s="69"/>
      <c r="K114" s="70"/>
      <c r="L114" s="69"/>
      <c r="M114" s="69"/>
      <c r="N114" s="69"/>
      <c r="O114" s="70"/>
      <c r="P114" s="69"/>
      <c r="S114" s="71"/>
    </row>
    <row r="115" spans="2:19" ht="13.5">
      <c r="B115">
        <f aca="true" t="shared" si="1" ref="B115:B120">LEN(A107)</f>
        <v>1211</v>
      </c>
      <c r="C115" s="67"/>
      <c r="D115" s="68"/>
      <c r="E115" s="69"/>
      <c r="F115" s="69"/>
      <c r="G115" s="69"/>
      <c r="H115" s="69"/>
      <c r="I115" s="69"/>
      <c r="J115" s="69"/>
      <c r="K115" s="70"/>
      <c r="L115" s="69"/>
      <c r="M115" s="69"/>
      <c r="N115" s="69"/>
      <c r="O115" s="70"/>
      <c r="P115" s="69"/>
      <c r="S115" s="71"/>
    </row>
    <row r="116" spans="2:19" ht="13.5">
      <c r="B116">
        <f t="shared" si="1"/>
        <v>1200</v>
      </c>
      <c r="D116" s="68"/>
      <c r="E116" s="69"/>
      <c r="F116" s="69"/>
      <c r="G116" s="69"/>
      <c r="H116" s="69"/>
      <c r="I116" s="69"/>
      <c r="J116" s="69"/>
      <c r="K116" s="70"/>
      <c r="L116" s="69"/>
      <c r="M116" s="69"/>
      <c r="N116" s="69"/>
      <c r="O116" s="70"/>
      <c r="P116" s="69"/>
      <c r="S116" s="71"/>
    </row>
    <row r="117" spans="2:19" ht="13.5">
      <c r="B117">
        <f t="shared" si="1"/>
        <v>1200</v>
      </c>
      <c r="D117" s="68"/>
      <c r="E117" s="69"/>
      <c r="F117" s="69"/>
      <c r="G117" s="69"/>
      <c r="H117" s="69"/>
      <c r="I117" s="69"/>
      <c r="J117" s="69"/>
      <c r="K117" s="70"/>
      <c r="L117" s="69"/>
      <c r="M117" s="69"/>
      <c r="N117" s="69"/>
      <c r="O117" s="70"/>
      <c r="P117" s="69"/>
      <c r="S117" s="71"/>
    </row>
    <row r="118" spans="2:19" ht="13.5">
      <c r="B118">
        <f t="shared" si="1"/>
        <v>1200</v>
      </c>
      <c r="D118" s="68"/>
      <c r="E118" s="69"/>
      <c r="F118" s="69"/>
      <c r="G118" s="69"/>
      <c r="H118" s="69"/>
      <c r="I118" s="69"/>
      <c r="J118" s="69"/>
      <c r="K118" s="70"/>
      <c r="L118" s="69"/>
      <c r="M118" s="69"/>
      <c r="N118" s="69"/>
      <c r="O118" s="70"/>
      <c r="P118" s="69"/>
      <c r="S118" s="71"/>
    </row>
    <row r="119" spans="2:15" ht="13.5">
      <c r="B119">
        <f t="shared" si="1"/>
        <v>1200</v>
      </c>
      <c r="C119" s="48"/>
      <c r="K119" s="9"/>
      <c r="O119" s="9"/>
    </row>
    <row r="120" spans="2:15" ht="13.5">
      <c r="B120">
        <f t="shared" si="1"/>
        <v>480</v>
      </c>
      <c r="C120" s="48"/>
      <c r="K120" s="9"/>
      <c r="O120" s="9"/>
    </row>
    <row r="121" spans="3:15" ht="13.5">
      <c r="C121" s="48"/>
      <c r="K121" s="9"/>
      <c r="O121" s="9"/>
    </row>
    <row r="122" spans="11:15" ht="13.5">
      <c r="K122" s="9"/>
      <c r="O122" s="9"/>
    </row>
    <row r="123" spans="11:15" ht="13.5">
      <c r="K123" s="9"/>
      <c r="O123" s="9"/>
    </row>
    <row r="124" spans="1:15" ht="13.5">
      <c r="A124" s="61"/>
      <c r="K124" s="9"/>
      <c r="O124" s="9"/>
    </row>
    <row r="125" spans="11:15" ht="13.5">
      <c r="K125" s="9"/>
      <c r="O125" s="9"/>
    </row>
    <row r="126" spans="11:15" ht="13.5">
      <c r="K126" s="9"/>
      <c r="O126" s="9"/>
    </row>
  </sheetData>
  <sheetProtection/>
  <mergeCells count="20">
    <mergeCell ref="B69:C69"/>
    <mergeCell ref="B70:C70"/>
    <mergeCell ref="B55:B62"/>
    <mergeCell ref="B68:C68"/>
    <mergeCell ref="B17:B18"/>
    <mergeCell ref="B19:B22"/>
    <mergeCell ref="B23:B25"/>
    <mergeCell ref="B26:C26"/>
    <mergeCell ref="B63:C63"/>
    <mergeCell ref="B41:B54"/>
    <mergeCell ref="K12:K15"/>
    <mergeCell ref="G12:G15"/>
    <mergeCell ref="O12:O15"/>
    <mergeCell ref="B66:C66"/>
    <mergeCell ref="B67:C67"/>
    <mergeCell ref="B64:C64"/>
    <mergeCell ref="B65:C65"/>
    <mergeCell ref="B27:B28"/>
    <mergeCell ref="B29:B32"/>
    <mergeCell ref="B33:B40"/>
  </mergeCells>
  <printOptions/>
  <pageMargins left="0.787" right="0.787" top="0.984" bottom="0.984" header="0.512" footer="0.512"/>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有澤佳彦</cp:lastModifiedBy>
  <cp:lastPrinted>2019-09-10T04:37:27Z</cp:lastPrinted>
  <dcterms:created xsi:type="dcterms:W3CDTF">1997-01-08T22:48:59Z</dcterms:created>
  <dcterms:modified xsi:type="dcterms:W3CDTF">2019-09-10T04:42:14Z</dcterms:modified>
  <cp:category/>
  <cp:version/>
  <cp:contentType/>
  <cp:contentStatus/>
</cp:coreProperties>
</file>