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showInkAnnotation="0"/>
  <xr:revisionPtr xr6:coauthVersionLast="47" xr6:coauthVersionMax="47" documentId="13_ncr:1_{9A1576B4-C80C-48E3-8FFC-C0955B17EFE1}" revIDLastSave="0" xr10:uidLastSave="{00000000-0000-0000-0000-000000000000}"/>
  <bookViews>
    <workbookView tabRatio="727" xr2:uid="{00000000-000D-0000-FFFF-FFFF00000000}" windowHeight="13140" windowWidth="24240" xWindow="-120" yWindow="480"/>
  </bookViews>
  <sheets>
    <sheet r:id="rId1" name="試算シミュレーション" sheetId="24"/>
    <sheet r:id="rId2" name="所得計算R8" sheetId="23" state="hidden"/>
  </sheets>
  <definedNames>
    <definedName localSheetId="0" name="_xlnm.Print_Area">試算シミュレーション!$A$1:$O$66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23" l="1"/>
  <c r="E39" i="23"/>
  <c r="F39" i="23"/>
  <c r="G39" i="23"/>
  <c r="C39" i="23"/>
  <c r="D30" i="23"/>
  <c r="E30" i="23"/>
  <c r="F30" i="23"/>
  <c r="G30" i="23"/>
  <c r="C30" i="23"/>
  <c r="C18" i="23" l="1"/>
  <c r="B34" i="23" l="1"/>
  <c r="B25" i="23"/>
  <c r="B26" i="23"/>
  <c r="B27" i="23"/>
  <c r="F101" i="23" l="1"/>
  <c r="G3" i="23"/>
  <c r="G12" i="23" s="1"/>
  <c r="F3" i="23"/>
  <c r="F12" i="23" s="1"/>
  <c r="E3" i="23"/>
  <c r="E12" i="23" s="1"/>
  <c r="J25" i="23"/>
  <c r="J24" i="23"/>
  <c r="N74" i="23"/>
  <c r="L74" i="23"/>
  <c r="H74" i="23"/>
  <c r="H75" i="23"/>
  <c r="H76" i="23"/>
  <c r="G76" i="23"/>
  <c r="G74" i="23"/>
  <c r="G75" i="23"/>
  <c r="F74" i="23"/>
  <c r="F75" i="23"/>
  <c r="F76" i="23"/>
  <c r="E74" i="23"/>
  <c r="E75" i="23"/>
  <c r="E76" i="23"/>
  <c r="O76" i="23" s="1"/>
  <c r="D76" i="23"/>
  <c r="D74" i="23"/>
  <c r="D75" i="23"/>
  <c r="C76" i="23"/>
  <c r="C75" i="23"/>
  <c r="C74" i="23"/>
  <c r="B74" i="23"/>
  <c r="B75" i="23"/>
  <c r="B76" i="23"/>
  <c r="C73" i="23"/>
  <c r="D73" i="23"/>
  <c r="E73" i="23"/>
  <c r="F73" i="23"/>
  <c r="G73" i="23"/>
  <c r="H73" i="23"/>
  <c r="I73" i="23"/>
  <c r="J73" i="23"/>
  <c r="K73" i="23"/>
  <c r="L73" i="23"/>
  <c r="N73" i="23"/>
  <c r="B73" i="23"/>
  <c r="L16" i="24"/>
  <c r="K3" i="23"/>
  <c r="K7" i="23" s="1"/>
  <c r="L3" i="23"/>
  <c r="L7" i="23" s="1"/>
  <c r="M3" i="23"/>
  <c r="J3" i="23"/>
  <c r="J7" i="23" s="1"/>
  <c r="E57" i="24"/>
  <c r="E58" i="24"/>
  <c r="N49" i="23"/>
  <c r="N50" i="23"/>
  <c r="N48" i="23"/>
  <c r="L49" i="23"/>
  <c r="L50" i="23"/>
  <c r="L48" i="23"/>
  <c r="K49" i="23"/>
  <c r="K50" i="23"/>
  <c r="K48" i="23"/>
  <c r="I49" i="23"/>
  <c r="I50" i="23"/>
  <c r="I48" i="23"/>
  <c r="H49" i="23"/>
  <c r="H50" i="23"/>
  <c r="H48" i="23"/>
  <c r="F49" i="23"/>
  <c r="F50" i="23"/>
  <c r="F48" i="23"/>
  <c r="E49" i="23"/>
  <c r="E50" i="23"/>
  <c r="E48" i="23"/>
  <c r="B49" i="23"/>
  <c r="B50" i="23"/>
  <c r="B48" i="23"/>
  <c r="J50" i="23"/>
  <c r="J49" i="23"/>
  <c r="J48" i="23"/>
  <c r="G50" i="23"/>
  <c r="G49" i="23"/>
  <c r="G48" i="23"/>
  <c r="D50" i="23"/>
  <c r="D49" i="23"/>
  <c r="D48" i="23"/>
  <c r="C50" i="23"/>
  <c r="C49" i="23"/>
  <c r="C48" i="23"/>
  <c r="G4" i="23" l="1"/>
  <c r="G11" i="23"/>
  <c r="G10" i="23"/>
  <c r="F11" i="23"/>
  <c r="F10" i="23"/>
  <c r="F4" i="23" s="1"/>
  <c r="E11" i="23"/>
  <c r="E10" i="23"/>
  <c r="J5" i="23"/>
  <c r="O75" i="23"/>
  <c r="O73" i="23"/>
  <c r="O74" i="23"/>
  <c r="M6" i="23"/>
  <c r="M7" i="23"/>
  <c r="L6" i="23"/>
  <c r="K6" i="23"/>
  <c r="J6" i="23"/>
  <c r="J8" i="23"/>
  <c r="A62" i="23" s="1"/>
  <c r="G37" i="24"/>
  <c r="G42" i="24"/>
  <c r="O47" i="23"/>
  <c r="M47" i="23"/>
  <c r="E4" i="23" l="1"/>
  <c r="D21" i="24" s="1"/>
  <c r="O20" i="24" s="1"/>
  <c r="A80" i="23"/>
  <c r="M74" i="23"/>
  <c r="M73" i="23"/>
  <c r="M49" i="23"/>
  <c r="M48" i="23"/>
  <c r="M50" i="23"/>
  <c r="O49" i="23"/>
  <c r="O48" i="23"/>
  <c r="O50" i="23"/>
  <c r="F18" i="23"/>
  <c r="G20" i="23"/>
  <c r="C80" i="23" l="1"/>
  <c r="D80" i="23"/>
  <c r="D84" i="23" s="1"/>
  <c r="N15" i="23"/>
  <c r="G21" i="23"/>
  <c r="G80" i="23"/>
  <c r="M80" i="23"/>
  <c r="J80" i="23"/>
  <c r="G35" i="23"/>
  <c r="F20" i="23"/>
  <c r="E20" i="23"/>
  <c r="D20" i="23"/>
  <c r="C20" i="23"/>
  <c r="B38" i="23"/>
  <c r="B37" i="23"/>
  <c r="B36" i="23"/>
  <c r="B35" i="23"/>
  <c r="G18" i="23"/>
  <c r="G19" i="23" s="1"/>
  <c r="F19" i="23"/>
  <c r="E18" i="23"/>
  <c r="D18" i="23"/>
  <c r="B29" i="23"/>
  <c r="B28" i="23"/>
  <c r="G42" i="23" l="1"/>
  <c r="N13" i="23"/>
  <c r="E19" i="23"/>
  <c r="D19" i="23"/>
  <c r="F35" i="23"/>
  <c r="M15" i="23"/>
  <c r="E37" i="23"/>
  <c r="L15" i="23"/>
  <c r="J15" i="23"/>
  <c r="D35" i="23"/>
  <c r="K15" i="23"/>
  <c r="C37" i="23"/>
  <c r="G38" i="23"/>
  <c r="G37" i="23"/>
  <c r="G36" i="23"/>
  <c r="E38" i="23"/>
  <c r="E35" i="23"/>
  <c r="E36" i="23"/>
  <c r="D36" i="23"/>
  <c r="D37" i="23"/>
  <c r="D38" i="23"/>
  <c r="C38" i="23"/>
  <c r="F38" i="23"/>
  <c r="C35" i="23"/>
  <c r="F37" i="23"/>
  <c r="C36" i="23"/>
  <c r="F36" i="23"/>
  <c r="C27" i="23"/>
  <c r="C19" i="23" s="1"/>
  <c r="G29" i="23"/>
  <c r="G26" i="23"/>
  <c r="G28" i="23"/>
  <c r="G27" i="23"/>
  <c r="C29" i="23"/>
  <c r="E26" i="23"/>
  <c r="E27" i="23"/>
  <c r="E28" i="23"/>
  <c r="E29" i="23"/>
  <c r="C28" i="23"/>
  <c r="F26" i="23"/>
  <c r="F27" i="23"/>
  <c r="F28" i="23"/>
  <c r="E23" i="24" s="1"/>
  <c r="F29" i="23"/>
  <c r="C26" i="23"/>
  <c r="D26" i="23"/>
  <c r="D27" i="23"/>
  <c r="D28" i="23"/>
  <c r="D29" i="23"/>
  <c r="G29" i="24" l="1"/>
  <c r="E19" i="24"/>
  <c r="E17" i="24"/>
  <c r="E21" i="24"/>
  <c r="I29" i="24"/>
  <c r="D3" i="23" l="1"/>
  <c r="D12" i="23" s="1"/>
  <c r="C3" i="23"/>
  <c r="C12" i="23" l="1"/>
  <c r="C11" i="23"/>
  <c r="D10" i="23"/>
  <c r="D11" i="23"/>
  <c r="D4" i="23"/>
  <c r="C10" i="23"/>
  <c r="N12" i="23"/>
  <c r="C4" i="23" l="1"/>
  <c r="D17" i="24" s="1"/>
  <c r="D19" i="24"/>
  <c r="O18" i="24" s="1"/>
  <c r="E29" i="24"/>
  <c r="G5" i="23"/>
  <c r="D23" i="24"/>
  <c r="G51" i="24"/>
  <c r="O22" i="24" l="1"/>
  <c r="O16" i="24"/>
  <c r="C5" i="23"/>
  <c r="E5" i="23"/>
  <c r="F5" i="23"/>
  <c r="D5" i="23"/>
  <c r="H50" i="24"/>
  <c r="E36" i="24"/>
  <c r="N50" i="24"/>
  <c r="E50" i="24"/>
  <c r="R4" i="24"/>
  <c r="H36" i="24" l="1"/>
  <c r="I8" i="24" l="1"/>
  <c r="O10" i="23" l="1"/>
  <c r="G50" i="24"/>
  <c r="I50" i="24" s="1"/>
  <c r="G36" i="24"/>
  <c r="G41" i="24"/>
  <c r="H37" i="24" l="1"/>
  <c r="H41" i="24"/>
  <c r="H42" i="24"/>
  <c r="L18" i="24" l="1"/>
  <c r="K5" i="23" l="1"/>
  <c r="K8" i="23" s="1"/>
  <c r="A63" i="23" s="1"/>
  <c r="L22" i="24"/>
  <c r="M5" i="23" s="1"/>
  <c r="M8" i="23" s="1"/>
  <c r="A65" i="23" s="1"/>
  <c r="L20" i="24"/>
  <c r="L5" i="23" s="1"/>
  <c r="L8" i="23" s="1"/>
  <c r="A64" i="23" s="1"/>
  <c r="G64" i="24"/>
  <c r="G62" i="24"/>
  <c r="K8" i="24" l="1"/>
  <c r="N46" i="24" s="1"/>
  <c r="A83" i="23"/>
  <c r="J65" i="23"/>
  <c r="A82" i="23"/>
  <c r="G65" i="24"/>
  <c r="B90" i="23"/>
  <c r="A81" i="23"/>
  <c r="N41" i="24"/>
  <c r="E41" i="24"/>
  <c r="N36" i="24"/>
  <c r="E46" i="24"/>
  <c r="K29" i="24"/>
  <c r="N16" i="23" s="1"/>
  <c r="C83" i="23" l="1"/>
  <c r="M83" i="23"/>
  <c r="J83" i="23"/>
  <c r="G83" i="23"/>
  <c r="G82" i="23"/>
  <c r="M82" i="23"/>
  <c r="J82" i="23"/>
  <c r="C82" i="23"/>
  <c r="N54" i="24"/>
  <c r="G81" i="23"/>
  <c r="M81" i="23"/>
  <c r="J81" i="23"/>
  <c r="C81" i="23"/>
  <c r="E55" i="24"/>
  <c r="H46" i="24"/>
  <c r="K36" i="24"/>
  <c r="G46" i="24"/>
  <c r="J84" i="23" l="1"/>
  <c r="G84" i="23"/>
  <c r="M84" i="23"/>
  <c r="I41" i="24"/>
  <c r="I36" i="24"/>
  <c r="I46" i="24"/>
  <c r="C84" i="23" l="1"/>
  <c r="M65" i="23" l="1"/>
  <c r="M64" i="23" l="1"/>
  <c r="J64" i="23"/>
  <c r="I64" i="23"/>
  <c r="L4" i="23"/>
  <c r="M4" i="23"/>
  <c r="C21" i="23"/>
  <c r="K64" i="23" l="1"/>
  <c r="I65" i="23"/>
  <c r="K65" i="23" s="1"/>
  <c r="L83" i="23"/>
  <c r="N83" i="23" s="1"/>
  <c r="B83" i="23"/>
  <c r="E83" i="23" s="1"/>
  <c r="F83" i="23"/>
  <c r="H83" i="23" s="1"/>
  <c r="I83" i="23"/>
  <c r="K83" i="23" s="1"/>
  <c r="L65" i="23"/>
  <c r="N65" i="23" s="1"/>
  <c r="I82" i="23"/>
  <c r="K82" i="23" s="1"/>
  <c r="L82" i="23"/>
  <c r="N82" i="23" s="1"/>
  <c r="F82" i="23"/>
  <c r="H82" i="23" s="1"/>
  <c r="B82" i="23"/>
  <c r="E82" i="23" s="1"/>
  <c r="L64" i="23"/>
  <c r="N64" i="23" s="1"/>
  <c r="J12" i="23"/>
  <c r="C42" i="23"/>
  <c r="F17" i="24"/>
  <c r="O17" i="24" s="1"/>
  <c r="H16" i="24" s="1"/>
  <c r="I16" i="24" s="1"/>
  <c r="O83" i="23" l="1"/>
  <c r="O82" i="23"/>
  <c r="J16" i="24"/>
  <c r="K16" i="24" s="1"/>
  <c r="J16" i="23"/>
  <c r="D21" i="23"/>
  <c r="F19" i="24" s="1"/>
  <c r="O19" i="24" s="1"/>
  <c r="H18" i="24" s="1"/>
  <c r="I18" i="24" s="1"/>
  <c r="J4" i="23" l="1"/>
  <c r="K12" i="23"/>
  <c r="D42" i="23"/>
  <c r="J18" i="24"/>
  <c r="K18" i="24" s="1"/>
  <c r="K4" i="23" s="1"/>
  <c r="K16" i="23"/>
  <c r="E21" i="23"/>
  <c r="F21" i="24" s="1"/>
  <c r="O21" i="24" s="1"/>
  <c r="H20" i="24" s="1"/>
  <c r="L81" i="23" l="1"/>
  <c r="N81" i="23" s="1"/>
  <c r="B81" i="23"/>
  <c r="E81" i="23" s="1"/>
  <c r="I81" i="23"/>
  <c r="K81" i="23" s="1"/>
  <c r="F81" i="23"/>
  <c r="H81" i="23" s="1"/>
  <c r="D46" i="24"/>
  <c r="F46" i="24" s="1"/>
  <c r="L46" i="24" s="1"/>
  <c r="L80" i="23"/>
  <c r="F80" i="23"/>
  <c r="I80" i="23"/>
  <c r="B80" i="23"/>
  <c r="L12" i="23"/>
  <c r="E42" i="23"/>
  <c r="L13" i="23"/>
  <c r="I20" i="24"/>
  <c r="O81" i="23" l="1"/>
  <c r="E80" i="23"/>
  <c r="B84" i="23"/>
  <c r="K80" i="23"/>
  <c r="K84" i="23" s="1"/>
  <c r="K85" i="23" s="1"/>
  <c r="I84" i="23"/>
  <c r="H80" i="23"/>
  <c r="H84" i="23" s="1"/>
  <c r="H85" i="23" s="1"/>
  <c r="F84" i="23"/>
  <c r="N80" i="23"/>
  <c r="N84" i="23" s="1"/>
  <c r="N85" i="23" s="1"/>
  <c r="L84" i="23"/>
  <c r="J20" i="24"/>
  <c r="K20" i="24" s="1"/>
  <c r="L16" i="23"/>
  <c r="F21" i="23"/>
  <c r="O80" i="23" l="1"/>
  <c r="O84" i="23" s="1"/>
  <c r="E84" i="23"/>
  <c r="E85" i="23" s="1"/>
  <c r="O85" i="23" s="1"/>
  <c r="M13" i="23"/>
  <c r="F42" i="23"/>
  <c r="F23" i="24"/>
  <c r="O23" i="24"/>
  <c r="H22" i="24" s="1"/>
  <c r="I22" i="24" s="1"/>
  <c r="M12" i="23"/>
  <c r="O12" i="23" s="1"/>
  <c r="L21" i="23" l="1"/>
  <c r="L20" i="23"/>
  <c r="L19" i="23"/>
  <c r="J22" i="24"/>
  <c r="K22" i="24" s="1"/>
  <c r="M16" i="23"/>
  <c r="O16" i="23" s="1"/>
  <c r="G56" i="24"/>
  <c r="G54" i="24"/>
  <c r="G55" i="24"/>
  <c r="E54" i="24"/>
  <c r="D36" i="24" l="1"/>
  <c r="F36" i="24" s="1"/>
  <c r="L36" i="24" s="1"/>
  <c r="D50" i="24"/>
  <c r="F50" i="24" s="1"/>
  <c r="L50" i="24" s="1"/>
  <c r="D41" i="24"/>
  <c r="F41" i="24" s="1"/>
  <c r="L41" i="24" s="1"/>
  <c r="G53" i="24"/>
  <c r="O19" i="23"/>
  <c r="D52" i="23" l="1"/>
  <c r="K55" i="24"/>
  <c r="J55" i="23" l="1"/>
  <c r="D55" i="23"/>
  <c r="F55" i="23"/>
  <c r="N55" i="23"/>
  <c r="I55" i="23"/>
  <c r="K55" i="23"/>
  <c r="E55" i="23"/>
  <c r="G55" i="23"/>
  <c r="B55" i="23"/>
  <c r="C55" i="23"/>
  <c r="M55" i="23"/>
  <c r="H55" i="23"/>
  <c r="L55" i="23"/>
  <c r="J62" i="23" l="1"/>
  <c r="J63" i="23"/>
  <c r="I62" i="23"/>
  <c r="I63" i="23"/>
  <c r="M56" i="23"/>
  <c r="M62" i="23" s="1"/>
  <c r="L56" i="23"/>
  <c r="L62" i="23" s="1"/>
  <c r="G57" i="23"/>
  <c r="G64" i="23" s="1"/>
  <c r="G56" i="23"/>
  <c r="G62" i="23" s="1"/>
  <c r="G58" i="23"/>
  <c r="G65" i="23" s="1"/>
  <c r="N56" i="23"/>
  <c r="O55" i="23"/>
  <c r="L53" i="24" s="1"/>
  <c r="E57" i="23"/>
  <c r="E58" i="23"/>
  <c r="E56" i="23"/>
  <c r="F58" i="23"/>
  <c r="F65" i="23" s="1"/>
  <c r="F57" i="23"/>
  <c r="F64" i="23" s="1"/>
  <c r="F56" i="23"/>
  <c r="F62" i="23" s="1"/>
  <c r="H57" i="23"/>
  <c r="H56" i="23"/>
  <c r="H58" i="23"/>
  <c r="D58" i="23"/>
  <c r="D56" i="23"/>
  <c r="D62" i="23" s="1"/>
  <c r="D66" i="23" s="1"/>
  <c r="D57" i="23"/>
  <c r="C58" i="23"/>
  <c r="C65" i="23" s="1"/>
  <c r="C57" i="23"/>
  <c r="C64" i="23" s="1"/>
  <c r="C56" i="23"/>
  <c r="C62" i="23" s="1"/>
  <c r="B58" i="23"/>
  <c r="B65" i="23" s="1"/>
  <c r="B56" i="23"/>
  <c r="B62" i="23" s="1"/>
  <c r="B57" i="23"/>
  <c r="B64" i="23" s="1"/>
  <c r="C63" i="23" l="1"/>
  <c r="C66" i="23" s="1"/>
  <c r="F63" i="23"/>
  <c r="F66" i="23" s="1"/>
  <c r="B63" i="23"/>
  <c r="L63" i="23"/>
  <c r="G63" i="23"/>
  <c r="M63" i="23"/>
  <c r="M66" i="23" s="1"/>
  <c r="K63" i="23"/>
  <c r="K62" i="23"/>
  <c r="E62" i="23"/>
  <c r="H62" i="23"/>
  <c r="E65" i="23"/>
  <c r="I66" i="23"/>
  <c r="H65" i="23"/>
  <c r="J66" i="23"/>
  <c r="H64" i="23"/>
  <c r="E64" i="23"/>
  <c r="N62" i="23"/>
  <c r="O56" i="23"/>
  <c r="O57" i="23"/>
  <c r="O58" i="23"/>
  <c r="E63" i="23" l="1"/>
  <c r="E66" i="23" s="1"/>
  <c r="E67" i="23" s="1"/>
  <c r="H63" i="23"/>
  <c r="H66" i="23" s="1"/>
  <c r="H67" i="23" s="1"/>
  <c r="G66" i="23"/>
  <c r="N63" i="23"/>
  <c r="L66" i="23"/>
  <c r="B66" i="23"/>
  <c r="K66" i="23"/>
  <c r="K67" i="23" s="1"/>
  <c r="O65" i="23"/>
  <c r="O64" i="23"/>
  <c r="O62" i="23"/>
  <c r="O63" i="23" l="1"/>
  <c r="O66" i="23" s="1"/>
  <c r="O86" i="23" s="1"/>
  <c r="M55" i="24" s="1"/>
  <c r="N66" i="23"/>
  <c r="N67" i="23" s="1"/>
  <c r="O67" i="23" s="1"/>
  <c r="L57" i="24" s="1"/>
  <c r="L59" i="24" s="1"/>
  <c r="I62" i="24" l="1"/>
  <c r="B89" i="23" s="1"/>
  <c r="D97" i="23" s="1"/>
  <c r="E97" i="23" s="1"/>
  <c r="F97" i="23" s="1"/>
  <c r="G97" i="23" s="1"/>
  <c r="D93" i="23" l="1"/>
  <c r="E93" i="23" s="1"/>
  <c r="D98" i="23"/>
  <c r="E98" i="23" s="1"/>
  <c r="F98" i="23" s="1"/>
  <c r="G98" i="23" s="1"/>
  <c r="D95" i="23"/>
  <c r="E95" i="23" s="1"/>
  <c r="F95" i="23" s="1"/>
  <c r="G95" i="23" s="1"/>
  <c r="G101" i="23"/>
  <c r="D99" i="23"/>
  <c r="E99" i="23" s="1"/>
  <c r="F99" i="23" s="1"/>
  <c r="G99" i="23" s="1"/>
  <c r="D100" i="23"/>
  <c r="E100" i="23" s="1"/>
  <c r="F100" i="23" s="1"/>
  <c r="G100" i="23" s="1"/>
  <c r="D96" i="23"/>
  <c r="E96" i="23" s="1"/>
  <c r="F96" i="23" s="1"/>
  <c r="G96" i="23" s="1"/>
  <c r="D94" i="23"/>
  <c r="E94" i="23" s="1"/>
  <c r="F94" i="23" s="1"/>
  <c r="G94" i="23" s="1"/>
  <c r="D101" i="23"/>
  <c r="F93" i="23"/>
  <c r="G93" i="23" s="1"/>
  <c r="E90" i="23" s="1"/>
  <c r="I64" i="24" s="1"/>
  <c r="G90" i="23" l="1"/>
  <c r="I65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大内章広</author>
  </authors>
  <commentList>
    <comment ref="H16" authorId="0" shapeId="0" xr:uid="{00000000-0006-0000-0000-000001000000}">
      <text>
        <r>
          <rPr>
            <sz val="11"/>
            <color indexed="81"/>
            <rFont val="HGPｺﾞｼｯｸE"/>
            <family val="3"/>
            <charset val="128"/>
          </rPr>
          <t>給与所得、公的年金所得の両方を有する者の所得調整控除額</t>
        </r>
      </text>
    </comment>
    <comment ref="H18" authorId="0" shapeId="0" xr:uid="{00000000-0006-0000-0000-000002000000}">
      <text>
        <r>
          <rPr>
            <sz val="11"/>
            <color indexed="81"/>
            <rFont val="HGPｺﾞｼｯｸE"/>
            <family val="3"/>
            <charset val="128"/>
          </rPr>
          <t>給与所得、公的年金所得の両方を有する者の所得調整控除額</t>
        </r>
      </text>
    </comment>
    <comment ref="H20" authorId="0" shapeId="0" xr:uid="{00000000-0006-0000-0000-000003000000}">
      <text>
        <r>
          <rPr>
            <sz val="11"/>
            <color indexed="81"/>
            <rFont val="HGPｺﾞｼｯｸE"/>
            <family val="3"/>
            <charset val="128"/>
          </rPr>
          <t>給与所得、公的年金所得の両方を有する者の所得調整控除額</t>
        </r>
      </text>
    </comment>
    <comment ref="H22" authorId="0" shapeId="0" xr:uid="{00000000-0006-0000-0000-000004000000}">
      <text>
        <r>
          <rPr>
            <sz val="11"/>
            <color indexed="81"/>
            <rFont val="HGPｺﾞｼｯｸE"/>
            <family val="3"/>
            <charset val="128"/>
          </rPr>
          <t>給与所得、公的年金所得の両方を有する者の所得調整控除額</t>
        </r>
      </text>
    </comment>
  </commentList>
</comments>
</file>

<file path=xl/sharedStrings.xml><?xml version="1.0" encoding="utf-8"?>
<sst xmlns="http://schemas.openxmlformats.org/spreadsheetml/2006/main" count="347" uniqueCount="181">
  <si>
    <t>合計所得金額</t>
  </si>
  <si>
    <t>基礎控除額</t>
  </si>
  <si>
    <t>＝</t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</si>
  <si>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</si>
  <si>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</si>
  <si>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月</t>
    <rPh sb="0" eb="1">
      <t>ツキ</t>
    </rPh>
    <phoneticPr fontId="2"/>
  </si>
  <si>
    <t xml:space="preserve">      年金所得表</t>
  </si>
  <si>
    <t>（65歳未満）</t>
    <rPh sb="4" eb="6">
      <t>ミマン</t>
    </rPh>
    <phoneticPr fontId="2"/>
  </si>
  <si>
    <t>（65歳以上）</t>
    <rPh sb="4" eb="6">
      <t>イジョウ</t>
    </rPh>
    <phoneticPr fontId="2"/>
  </si>
  <si>
    <t>年税額</t>
    <rPh sb="0" eb="3">
      <t>ネンゼイガク</t>
    </rPh>
    <phoneticPr fontId="2"/>
  </si>
  <si>
    <t>均等割</t>
    <rPh sb="0" eb="2">
      <t>キントウ</t>
    </rPh>
    <rPh sb="2" eb="3">
      <t>ワリ</t>
    </rPh>
    <phoneticPr fontId="2"/>
  </si>
  <si>
    <t>平等割</t>
    <rPh sb="0" eb="2">
      <t>ビョウドウ</t>
    </rPh>
    <rPh sb="2" eb="3">
      <t>ワリ</t>
    </rPh>
    <phoneticPr fontId="2"/>
  </si>
  <si>
    <t>均等割</t>
    <rPh sb="0" eb="3">
      <t>キントウワリ</t>
    </rPh>
    <phoneticPr fontId="2"/>
  </si>
  <si>
    <t>所得割</t>
    <rPh sb="0" eb="2">
      <t>ショトク</t>
    </rPh>
    <rPh sb="2" eb="3">
      <t>ワリ</t>
    </rPh>
    <phoneticPr fontId="2"/>
  </si>
  <si>
    <t>限度額</t>
    <rPh sb="0" eb="2">
      <t>ゲンド</t>
    </rPh>
    <rPh sb="2" eb="3">
      <t>ガク</t>
    </rPh>
    <phoneticPr fontId="2"/>
  </si>
  <si>
    <t>の該当箇所を入力してください。</t>
    <rPh sb="1" eb="3">
      <t>ガイトウ</t>
    </rPh>
    <rPh sb="3" eb="5">
      <t>カショ</t>
    </rPh>
    <rPh sb="6" eb="8">
      <t>ニュウリョク</t>
    </rPh>
    <phoneticPr fontId="2"/>
  </si>
  <si>
    <t>国保税通知発送月</t>
    <rPh sb="0" eb="2">
      <t>コクホ</t>
    </rPh>
    <rPh sb="2" eb="3">
      <t>ゼイ</t>
    </rPh>
    <rPh sb="3" eb="5">
      <t>ツウチ</t>
    </rPh>
    <rPh sb="5" eb="7">
      <t>ハッソウ</t>
    </rPh>
    <rPh sb="7" eb="8">
      <t>ツキ</t>
    </rPh>
    <phoneticPr fontId="2"/>
  </si>
  <si>
    <t>高齢者支援分</t>
    <rPh sb="0" eb="3">
      <t>コウレイシャ</t>
    </rPh>
    <rPh sb="3" eb="5">
      <t>シエン</t>
    </rPh>
    <rPh sb="5" eb="6">
      <t>ブン</t>
    </rPh>
    <phoneticPr fontId="2"/>
  </si>
  <si>
    <t>７割軽減の基準</t>
    <rPh sb="1" eb="2">
      <t>ワリ</t>
    </rPh>
    <rPh sb="2" eb="4">
      <t>ケイゲン</t>
    </rPh>
    <rPh sb="5" eb="7">
      <t>キジュン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</si>
  <si>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</si>
  <si>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加入人数</t>
    <rPh sb="0" eb="2">
      <t>カニュウ</t>
    </rPh>
    <rPh sb="2" eb="4">
      <t>ニンズウ</t>
    </rPh>
    <phoneticPr fontId="2"/>
  </si>
  <si>
    <t>うち介護該当</t>
    <rPh sb="2" eb="4">
      <t>カイゴ</t>
    </rPh>
    <rPh sb="4" eb="6">
      <t>ガイトウ</t>
    </rPh>
    <phoneticPr fontId="2"/>
  </si>
  <si>
    <t>加入月数</t>
    <rPh sb="0" eb="2">
      <t>カニュウ</t>
    </rPh>
    <rPh sb="2" eb="3">
      <t>ツキ</t>
    </rPh>
    <rPh sb="3" eb="4">
      <t>スウ</t>
    </rPh>
    <phoneticPr fontId="2"/>
  </si>
  <si>
    <t>納付開始月</t>
    <rPh sb="0" eb="2">
      <t>ノウフ</t>
    </rPh>
    <rPh sb="2" eb="4">
      <t>カイシ</t>
    </rPh>
    <rPh sb="4" eb="5">
      <t>ツキ</t>
    </rPh>
    <phoneticPr fontId="2"/>
  </si>
  <si>
    <t>月～3月</t>
    <rPh sb="0" eb="1">
      <t>ツキ</t>
    </rPh>
    <rPh sb="3" eb="4">
      <t>ガツ</t>
    </rPh>
    <phoneticPr fontId="2"/>
  </si>
  <si>
    <t>令和</t>
    <rPh sb="0" eb="2">
      <t>レイワ</t>
    </rPh>
    <phoneticPr fontId="2"/>
  </si>
  <si>
    <t>５割軽減の基準</t>
  </si>
  <si>
    <t>２割軽減の基準</t>
  </si>
  <si>
    <t>給与所得者等の数</t>
    <rPh sb="0" eb="2">
      <t>キュウヨ</t>
    </rPh>
    <rPh sb="2" eb="4">
      <t>ショトク</t>
    </rPh>
    <rPh sb="4" eb="5">
      <t>シャ</t>
    </rPh>
    <rPh sb="5" eb="6">
      <t>トウ</t>
    </rPh>
    <rPh sb="7" eb="8">
      <t>カズ</t>
    </rPh>
    <phoneticPr fontId="2"/>
  </si>
  <si>
    <t>軽減判定に用いる給与所得者等の数</t>
    <rPh sb="0" eb="2">
      <t>ケイゲン</t>
    </rPh>
    <rPh sb="2" eb="4">
      <t>ハンテイ</t>
    </rPh>
    <rPh sb="5" eb="6">
      <t>モチ</t>
    </rPh>
    <rPh sb="8" eb="10">
      <t>キュウヨ</t>
    </rPh>
    <rPh sb="10" eb="12">
      <t>ショトク</t>
    </rPh>
    <rPh sb="12" eb="13">
      <t>シャ</t>
    </rPh>
    <rPh sb="13" eb="14">
      <t>トウ</t>
    </rPh>
    <rPh sb="15" eb="16">
      <t>カズ</t>
    </rPh>
    <phoneticPr fontId="2"/>
  </si>
  <si>
    <t>課税対象所得額</t>
    <rPh sb="0" eb="2">
      <t>カゼイ</t>
    </rPh>
    <rPh sb="2" eb="4">
      <t>タイショウ</t>
    </rPh>
    <rPh sb="4" eb="6">
      <t>ショトク</t>
    </rPh>
    <rPh sb="6" eb="7">
      <t>ガク</t>
    </rPh>
    <phoneticPr fontId="2"/>
  </si>
  <si>
    <t>介護２号該当</t>
    <rPh sb="3" eb="4">
      <t>ゴウ</t>
    </rPh>
    <phoneticPr fontId="2"/>
  </si>
  <si>
    <t>国保加入者</t>
    <rPh sb="0" eb="2">
      <t>コクホ</t>
    </rPh>
    <rPh sb="2" eb="5">
      <t>カニュウシャ</t>
    </rPh>
    <phoneticPr fontId="2"/>
  </si>
  <si>
    <t>加入者①</t>
    <rPh sb="0" eb="3">
      <t>カニュウシャ</t>
    </rPh>
    <phoneticPr fontId="2"/>
  </si>
  <si>
    <t>加入者②</t>
    <rPh sb="0" eb="3">
      <t>カニュウシャ</t>
    </rPh>
    <phoneticPr fontId="2"/>
  </si>
  <si>
    <t>加入者③</t>
    <rPh sb="0" eb="3">
      <t>カニュウシャ</t>
    </rPh>
    <phoneticPr fontId="2"/>
  </si>
  <si>
    <t>加入者④</t>
    <rPh sb="0" eb="3">
      <t>カニュウシャ</t>
    </rPh>
    <phoneticPr fontId="2"/>
  </si>
  <si>
    <t>保険税率</t>
    <rPh sb="0" eb="2">
      <t>ホケン</t>
    </rPh>
    <rPh sb="2" eb="4">
      <t>ゼイリツ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</si>
  <si>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</si>
  <si>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加入者数</t>
    <rPh sb="0" eb="3">
      <t>カニュウシャ</t>
    </rPh>
    <rPh sb="3" eb="4">
      <t>スウ</t>
    </rPh>
    <phoneticPr fontId="2"/>
  </si>
  <si>
    <t>税額</t>
    <rPh sb="0" eb="2">
      <t>ゼイガク</t>
    </rPh>
    <phoneticPr fontId="2"/>
  </si>
  <si>
    <t>均等割額</t>
    <rPh sb="0" eb="3">
      <t>キントウワ</t>
    </rPh>
    <rPh sb="3" eb="4">
      <t>ガク</t>
    </rPh>
    <phoneticPr fontId="2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</si>
  <si>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2"/>
  </si>
  <si>
    <t>介護納付金分
※40才から65才未満のみ</t>
    <rPh sb="0" eb="2">
      <t>カイゴ</t>
    </rPh>
    <rPh sb="2" eb="5">
      <t>ノウフキン</t>
    </rPh>
    <rPh sb="5" eb="6">
      <t>ブン</t>
    </rPh>
    <phoneticPr fontId="2"/>
  </si>
  <si>
    <t>世帯数</t>
    <rPh sb="0" eb="2">
      <t>セタイ</t>
    </rPh>
    <rPh sb="2" eb="3">
      <t>スウ</t>
    </rPh>
    <phoneticPr fontId="2"/>
  </si>
  <si>
    <t>１世帯</t>
    <rPh sb="1" eb="3">
      <t>セタイ</t>
    </rPh>
    <phoneticPr fontId="2"/>
  </si>
  <si>
    <t>所得割（A)</t>
    <rPh sb="0" eb="2">
      <t>ショトク</t>
    </rPh>
    <rPh sb="2" eb="3">
      <t>ワリ</t>
    </rPh>
    <phoneticPr fontId="2"/>
  </si>
  <si>
    <t>均等割（1人あたり）（B)</t>
    <rPh sb="0" eb="3">
      <t>キントウワ</t>
    </rPh>
    <rPh sb="5" eb="6">
      <t>ニン</t>
    </rPh>
    <phoneticPr fontId="2"/>
  </si>
  <si>
    <t>平等割（１世帯あたり）（C)</t>
    <rPh sb="0" eb="2">
      <t>ビョウドウ</t>
    </rPh>
    <rPh sb="2" eb="3">
      <t>ワリ</t>
    </rPh>
    <rPh sb="5" eb="7">
      <t>セタイ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</si>
  <si>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</si>
  <si>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</si>
  <si>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雑所得</t>
    <rPh sb="0" eb="1">
      <t>ザツ</t>
    </rPh>
    <rPh sb="1" eb="3">
      <t>ショトク</t>
    </rPh>
    <phoneticPr fontId="2"/>
  </si>
  <si>
    <t>以下</t>
    <rPh sb="0" eb="2">
      <t>イカ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</si>
  <si>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</si>
  <si>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≪軽減判定≫</t>
    <rPh sb="1" eb="3">
      <t>ケイゲン</t>
    </rPh>
    <rPh sb="3" eb="5">
      <t>ハンテイ</t>
    </rPh>
    <phoneticPr fontId="2"/>
  </si>
  <si>
    <t>積算合計（D)
（A+B+C)</t>
    <rPh sb="0" eb="2">
      <t>セキサン</t>
    </rPh>
    <rPh sb="2" eb="4">
      <t>ゴウケイ</t>
    </rPh>
    <phoneticPr fontId="2"/>
  </si>
  <si>
    <t>積算合計（E)
（A+B)</t>
    <rPh sb="0" eb="2">
      <t>セキサン</t>
    </rPh>
    <rPh sb="2" eb="4">
      <t>ゴウケイ</t>
    </rPh>
    <phoneticPr fontId="2"/>
  </si>
  <si>
    <t>積算合計（F)
（A+B)</t>
    <rPh sb="0" eb="2">
      <t>セキサン</t>
    </rPh>
    <rPh sb="2" eb="4">
      <t>ゴウケイ</t>
    </rPh>
    <phoneticPr fontId="2"/>
  </si>
  <si>
    <t>（社会保険の任意継続との比較の際に参考としてください。）</t>
    <rPh sb="1" eb="3">
      <t>シャカイ</t>
    </rPh>
    <rPh sb="3" eb="5">
      <t>ホケン</t>
    </rPh>
    <phoneticPr fontId="2"/>
  </si>
  <si>
    <t>軽減判定結果</t>
    <rPh sb="0" eb="2">
      <t>ケイゲン</t>
    </rPh>
    <rPh sb="2" eb="4">
      <t>ハンテイ</t>
    </rPh>
    <rPh sb="4" eb="6">
      <t>ケッカ</t>
    </rPh>
    <phoneticPr fontId="2"/>
  </si>
  <si>
    <t>【参考】約１月当たりの税額</t>
    <rPh sb="1" eb="3">
      <t>サンコウ</t>
    </rPh>
    <rPh sb="4" eb="5">
      <t>ヤク</t>
    </rPh>
    <phoneticPr fontId="2"/>
  </si>
  <si>
    <t>課税額</t>
    <rPh sb="0" eb="2">
      <t>カゼイ</t>
    </rPh>
    <rPh sb="2" eb="3">
      <t>ガク</t>
    </rPh>
    <phoneticPr fontId="2"/>
  </si>
  <si>
    <t>×</t>
    <phoneticPr fontId="2"/>
  </si>
  <si>
    <t>=　年税額</t>
    <phoneticPr fontId="2"/>
  </si>
  <si>
    <t>（月割減額後）</t>
    <rPh sb="1" eb="3">
      <t>ツキワ</t>
    </rPh>
    <rPh sb="3" eb="5">
      <t>ゲンガク</t>
    </rPh>
    <rPh sb="5" eb="6">
      <t>ゴ</t>
    </rPh>
    <phoneticPr fontId="2"/>
  </si>
  <si>
    <t xml:space="preserve">国 民 健 康 保 険 税 概 算 算 出 表 </t>
  </si>
  <si>
    <t>年度の保険税額の試算　　</t>
    <rPh sb="3" eb="5">
      <t>ホケン</t>
    </rPh>
    <rPh sb="8" eb="10">
      <t>シサン</t>
    </rPh>
    <phoneticPr fontId="2"/>
  </si>
  <si>
    <t>国民健康保険加入条件の入力</t>
    <rPh sb="11" eb="13">
      <t>ニュウリョク</t>
    </rPh>
    <phoneticPr fontId="2"/>
  </si>
  <si>
    <t>加入者の年齢及び前年の収入状況</t>
    <phoneticPr fontId="2"/>
  </si>
  <si>
    <r>
      <t xml:space="preserve">①年齢
</t>
    </r>
    <r>
      <rPr>
        <b/>
        <sz val="7"/>
        <rFont val="游ゴシック"/>
        <family val="3"/>
        <charset val="128"/>
      </rPr>
      <t>（４月１日基準）</t>
    </r>
    <rPh sb="1" eb="3">
      <t>ネンレイ</t>
    </rPh>
    <rPh sb="6" eb="7">
      <t>ガツ</t>
    </rPh>
    <rPh sb="8" eb="9">
      <t>ニチ</t>
    </rPh>
    <rPh sb="9" eb="11">
      <t>キジュン</t>
    </rPh>
    <phoneticPr fontId="2"/>
  </si>
  <si>
    <t>②給与収入
（給与所得）</t>
    <rPh sb="3" eb="5">
      <t>シュウニュウ</t>
    </rPh>
    <rPh sb="7" eb="9">
      <t>キュウヨ</t>
    </rPh>
    <rPh sb="9" eb="11">
      <t>ショトク</t>
    </rPh>
    <phoneticPr fontId="2"/>
  </si>
  <si>
    <t>③年金収入（※１月１日基準）</t>
    <rPh sb="3" eb="5">
      <t>シュウニュウ</t>
    </rPh>
    <rPh sb="8" eb="9">
      <t>ガツ</t>
    </rPh>
    <rPh sb="10" eb="11">
      <t>ニチ</t>
    </rPh>
    <rPh sb="11" eb="13">
      <t>キジュン</t>
    </rPh>
    <phoneticPr fontId="2"/>
  </si>
  <si>
    <t>⑥失業軽減</t>
    <rPh sb="1" eb="3">
      <t>シツギョウ</t>
    </rPh>
    <rPh sb="3" eb="5">
      <t>ケイゲン</t>
    </rPh>
    <phoneticPr fontId="2"/>
  </si>
  <si>
    <t>擬制世帯主の収入状況</t>
    <phoneticPr fontId="2"/>
  </si>
  <si>
    <t>・国保健康保険の被保険者でない世帯主を擬制世帯主といいます。
・擬制世帯主の所得は、保険税の計算には含みませんが、保険税の軽減措置の判定に用います。</t>
    <rPh sb="1" eb="3">
      <t>コクホ</t>
    </rPh>
    <rPh sb="3" eb="5">
      <t>ケンコウ</t>
    </rPh>
    <rPh sb="5" eb="7">
      <t>ホケン</t>
    </rPh>
    <rPh sb="8" eb="12">
      <t>ヒホケンシャ</t>
    </rPh>
    <rPh sb="15" eb="17">
      <t>セタイ</t>
    </rPh>
    <rPh sb="17" eb="18">
      <t>ヌシ</t>
    </rPh>
    <rPh sb="19" eb="21">
      <t>ギセイ</t>
    </rPh>
    <rPh sb="21" eb="24">
      <t>セタイヌシ</t>
    </rPh>
    <rPh sb="32" eb="34">
      <t>ギセイ</t>
    </rPh>
    <rPh sb="34" eb="37">
      <t>セタイヌシ</t>
    </rPh>
    <rPh sb="38" eb="40">
      <t>ショトク</t>
    </rPh>
    <rPh sb="42" eb="44">
      <t>ホケン</t>
    </rPh>
    <rPh sb="44" eb="45">
      <t>ゼイ</t>
    </rPh>
    <rPh sb="46" eb="48">
      <t>ケイサン</t>
    </rPh>
    <rPh sb="50" eb="51">
      <t>フク</t>
    </rPh>
    <rPh sb="63" eb="65">
      <t>ソチ</t>
    </rPh>
    <phoneticPr fontId="2"/>
  </si>
  <si>
    <t>擬制世帯主</t>
    <rPh sb="0" eb="2">
      <t>ギセイ</t>
    </rPh>
    <rPh sb="2" eb="5">
      <t>セタイヌシ</t>
    </rPh>
    <phoneticPr fontId="2"/>
  </si>
  <si>
    <t>疑主の所得</t>
    <rPh sb="0" eb="1">
      <t>ギ</t>
    </rPh>
    <rPh sb="1" eb="2">
      <t>ヌシ</t>
    </rPh>
    <rPh sb="3" eb="5">
      <t>ショトク</t>
    </rPh>
    <phoneticPr fontId="2"/>
  </si>
  <si>
    <t>雑所得</t>
  </si>
  <si>
    <t>年金収入
（65歳以上）</t>
    <rPh sb="0" eb="2">
      <t>ネンキン</t>
    </rPh>
    <rPh sb="2" eb="4">
      <t>シュウニュウ</t>
    </rPh>
    <phoneticPr fontId="2"/>
  </si>
  <si>
    <t>年金収入
（65歳未満）</t>
    <rPh sb="0" eb="2">
      <t>ネンキン</t>
    </rPh>
    <rPh sb="2" eb="4">
      <t>シュウニュウ</t>
    </rPh>
    <phoneticPr fontId="2"/>
  </si>
  <si>
    <t>その他所得金額</t>
    <rPh sb="2" eb="3">
      <t>タ</t>
    </rPh>
    <rPh sb="3" eb="5">
      <t>ショトク</t>
    </rPh>
    <rPh sb="5" eb="7">
      <t>キンガク</t>
    </rPh>
    <phoneticPr fontId="2"/>
  </si>
  <si>
    <t>・　国民健康保険に加入する月数、納付開始月（加入手続きの翌月）を入力してください。※　1年間の試算を行う場合は、固定値</t>
    <rPh sb="2" eb="4">
      <t>コクミン</t>
    </rPh>
    <rPh sb="4" eb="6">
      <t>ケンコウ</t>
    </rPh>
    <rPh sb="6" eb="8">
      <t>ホケン</t>
    </rPh>
    <rPh sb="9" eb="11">
      <t>カニュウ</t>
    </rPh>
    <rPh sb="13" eb="14">
      <t>ツキ</t>
    </rPh>
    <rPh sb="14" eb="15">
      <t>スウ</t>
    </rPh>
    <rPh sb="16" eb="18">
      <t>ノウフ</t>
    </rPh>
    <rPh sb="18" eb="20">
      <t>カイシ</t>
    </rPh>
    <rPh sb="20" eb="21">
      <t>ツキ</t>
    </rPh>
    <rPh sb="22" eb="24">
      <t>カニュウ</t>
    </rPh>
    <rPh sb="24" eb="26">
      <t>テツヅ</t>
    </rPh>
    <rPh sb="28" eb="30">
      <t>ヨクゲツ</t>
    </rPh>
    <rPh sb="32" eb="34">
      <t>ニュウリョク</t>
    </rPh>
    <phoneticPr fontId="2"/>
  </si>
  <si>
    <t>④総合課税所得</t>
    <rPh sb="1" eb="3">
      <t>ソウゴウ</t>
    </rPh>
    <rPh sb="3" eb="5">
      <t>カゼイ</t>
    </rPh>
    <rPh sb="5" eb="7">
      <t>ショトク</t>
    </rPh>
    <phoneticPr fontId="2"/>
  </si>
  <si>
    <t>⑤分離課税所得</t>
    <phoneticPr fontId="2"/>
  </si>
  <si>
    <t>未就学児の数</t>
    <rPh sb="0" eb="4">
      <t>ミシュウガクジ</t>
    </rPh>
    <rPh sb="5" eb="6">
      <t>カズ</t>
    </rPh>
    <phoneticPr fontId="2"/>
  </si>
  <si>
    <t>≪未就学児軽減≫</t>
    <rPh sb="1" eb="5">
      <t>ミシュウガクジ</t>
    </rPh>
    <rPh sb="5" eb="7">
      <t>ケイゲン</t>
    </rPh>
    <phoneticPr fontId="2"/>
  </si>
  <si>
    <t>軽減判定所得の計算</t>
    <rPh sb="0" eb="2">
      <t>ケイゲン</t>
    </rPh>
    <rPh sb="2" eb="4">
      <t>ハンテイ</t>
    </rPh>
    <rPh sb="4" eb="6">
      <t>ショトク</t>
    </rPh>
    <rPh sb="7" eb="9">
      <t>ケイサン</t>
    </rPh>
    <phoneticPr fontId="2"/>
  </si>
  <si>
    <t>計</t>
    <rPh sb="0" eb="1">
      <t>ケイ</t>
    </rPh>
    <phoneticPr fontId="2"/>
  </si>
  <si>
    <t>加入者①</t>
    <rPh sb="0" eb="2">
      <t>カニュウ</t>
    </rPh>
    <rPh sb="2" eb="3">
      <t>シャ</t>
    </rPh>
    <phoneticPr fontId="2"/>
  </si>
  <si>
    <t>加入者②</t>
    <rPh sb="0" eb="2">
      <t>カニュウ</t>
    </rPh>
    <rPh sb="2" eb="3">
      <t>シャ</t>
    </rPh>
    <phoneticPr fontId="2"/>
  </si>
  <si>
    <t>加入者③</t>
    <rPh sb="0" eb="2">
      <t>カニュウ</t>
    </rPh>
    <rPh sb="2" eb="3">
      <t>シャ</t>
    </rPh>
    <phoneticPr fontId="2"/>
  </si>
  <si>
    <t>加入者④</t>
    <rPh sb="0" eb="2">
      <t>カニュウ</t>
    </rPh>
    <rPh sb="2" eb="3">
      <t>シャ</t>
    </rPh>
    <phoneticPr fontId="2"/>
  </si>
  <si>
    <t>生年月日</t>
    <rPh sb="0" eb="2">
      <t>セイネン</t>
    </rPh>
    <rPh sb="2" eb="4">
      <t>ガッピ</t>
    </rPh>
    <phoneticPr fontId="2"/>
  </si>
  <si>
    <t>子ども子育て分</t>
    <rPh sb="0" eb="1">
      <t>コ</t>
    </rPh>
    <rPh sb="3" eb="5">
      <t>コソダ</t>
    </rPh>
    <rPh sb="6" eb="7">
      <t>ブン</t>
    </rPh>
    <phoneticPr fontId="2"/>
  </si>
  <si>
    <t>子ども・子育て支援納付金分</t>
    <rPh sb="0" eb="1">
      <t>コ</t>
    </rPh>
    <rPh sb="4" eb="6">
      <t>コソダ</t>
    </rPh>
    <rPh sb="7" eb="9">
      <t>シエン</t>
    </rPh>
    <rPh sb="9" eb="12">
      <t>ノウフキン</t>
    </rPh>
    <rPh sb="12" eb="13">
      <t>ブン</t>
    </rPh>
    <phoneticPr fontId="2"/>
  </si>
  <si>
    <t>0円</t>
    <rPh sb="1" eb="2">
      <t>エン</t>
    </rPh>
    <phoneticPr fontId="2"/>
  </si>
  <si>
    <t>≪子ども子育て軽減≫</t>
    <rPh sb="1" eb="2">
      <t>コ</t>
    </rPh>
    <rPh sb="4" eb="6">
      <t>コソダ</t>
    </rPh>
    <rPh sb="7" eb="9">
      <t>ケイゲン</t>
    </rPh>
    <phoneticPr fontId="2"/>
  </si>
  <si>
    <t>18歳未満の数</t>
    <rPh sb="2" eb="5">
      <t>サイミマン</t>
    </rPh>
    <rPh sb="6" eb="7">
      <t>カズ</t>
    </rPh>
    <phoneticPr fontId="2"/>
  </si>
  <si>
    <t>①加入者全員の、令和8年4月1日時点の年齢を入力してください。
②給与収入のある方は、令和7年分給与所得の源泉徴収票の「支払金額」欄に記載している金額（複数ある場合は、合算額）を入力してください。
③公的年金収入がある方は、令和7年分公的年金等の源泉徴収票の「支払金額」欄に記載している金額（複数ある場合は、合算額）を入力してください。
　※　公的年金収入は、令和8年1月1日時点の年齢（65歳未満、65歳以上）によって、公的年金控除額が変わりますので、正しい欄に入力してください。
④総合課税所得（営業所得、不動産所得、配当所得、雑所得、一時所得等）がある方⇒確定申告書第一表の「所得金額」欄に記載されている金額（収入から必要経費を差し引いた金額）の合計を入力してください。
⑤分離課税所得（山林所得、土地建物の譲渡所得、株式等の譲渡所得、配当所得等）がある方　⇒申告不要制度を選択せず、確定申告書をした（総合課税・申告分離課税を選択した）場合のみ、「所得金額」欄に記載されている金額の合計を入力してください。
⑥会社の倒産や解雇などにより失業し、離職時点で年齢が65歳未満の方は、ドロップダウンリストで”有”を選択してください。
　※「雇用保険受給資格者証(または受給資格通知）」の「離職理由」が「11.12.21.22.23.31.32.33.34」のいずれかの番号がある方が対象です。</t>
    <rPh sb="1" eb="3">
      <t>カニュウ</t>
    </rPh>
    <rPh sb="3" eb="4">
      <t>シャ</t>
    </rPh>
    <rPh sb="4" eb="6">
      <t>ゼンイン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ジテン</t>
    </rPh>
    <rPh sb="19" eb="21">
      <t>ネンレイ</t>
    </rPh>
    <rPh sb="22" eb="24">
      <t>ニュウリョク</t>
    </rPh>
    <rPh sb="33" eb="35">
      <t>キュウヨ</t>
    </rPh>
    <rPh sb="35" eb="37">
      <t>シュウニュウ</t>
    </rPh>
    <rPh sb="40" eb="41">
      <t>カタ</t>
    </rPh>
    <rPh sb="43" eb="45">
      <t>レイワ</t>
    </rPh>
    <rPh sb="46" eb="48">
      <t>ネンブン</t>
    </rPh>
    <rPh sb="48" eb="50">
      <t>キュウヨ</t>
    </rPh>
    <rPh sb="50" eb="52">
      <t>ショトク</t>
    </rPh>
    <rPh sb="53" eb="55">
      <t>ゲンセン</t>
    </rPh>
    <rPh sb="55" eb="58">
      <t>チョウシュウヒョウ</t>
    </rPh>
    <rPh sb="60" eb="62">
      <t>シハライ</t>
    </rPh>
    <rPh sb="62" eb="64">
      <t>キンガク</t>
    </rPh>
    <rPh sb="65" eb="66">
      <t>ラン</t>
    </rPh>
    <rPh sb="67" eb="69">
      <t>キサイ</t>
    </rPh>
    <rPh sb="73" eb="75">
      <t>キンガク</t>
    </rPh>
    <rPh sb="76" eb="78">
      <t>フクスウ</t>
    </rPh>
    <rPh sb="80" eb="82">
      <t>バアイ</t>
    </rPh>
    <rPh sb="84" eb="86">
      <t>ガッサン</t>
    </rPh>
    <rPh sb="86" eb="87">
      <t>ガク</t>
    </rPh>
    <rPh sb="89" eb="91">
      <t>ニュウリョク</t>
    </rPh>
    <rPh sb="100" eb="102">
      <t>コウテキ</t>
    </rPh>
    <rPh sb="102" eb="104">
      <t>ネンキン</t>
    </rPh>
    <rPh sb="104" eb="106">
      <t>シュウニュウ</t>
    </rPh>
    <rPh sb="109" eb="110">
      <t>カタ</t>
    </rPh>
    <rPh sb="112" eb="114">
      <t>レイワ</t>
    </rPh>
    <rPh sb="115" eb="117">
      <t>ネンブン</t>
    </rPh>
    <rPh sb="117" eb="119">
      <t>コウテキ</t>
    </rPh>
    <rPh sb="119" eb="121">
      <t>ネンキン</t>
    </rPh>
    <rPh sb="121" eb="122">
      <t>トウ</t>
    </rPh>
    <rPh sb="123" eb="125">
      <t>ゲンセン</t>
    </rPh>
    <rPh sb="125" eb="128">
      <t>チョウシュウヒョウ</t>
    </rPh>
    <rPh sb="130" eb="132">
      <t>シハライ</t>
    </rPh>
    <rPh sb="132" eb="134">
      <t>キンガク</t>
    </rPh>
    <rPh sb="135" eb="136">
      <t>ラン</t>
    </rPh>
    <rPh sb="137" eb="139">
      <t>キサイ</t>
    </rPh>
    <rPh sb="143" eb="145">
      <t>キンガク</t>
    </rPh>
    <rPh sb="172" eb="174">
      <t>コウテキ</t>
    </rPh>
    <rPh sb="174" eb="176">
      <t>ネンキン</t>
    </rPh>
    <rPh sb="176" eb="178">
      <t>シュウニュウ</t>
    </rPh>
    <rPh sb="180" eb="182">
      <t>レイワ</t>
    </rPh>
    <rPh sb="183" eb="184">
      <t>ネン</t>
    </rPh>
    <rPh sb="185" eb="186">
      <t>ガツ</t>
    </rPh>
    <rPh sb="187" eb="188">
      <t>ニチ</t>
    </rPh>
    <rPh sb="188" eb="190">
      <t>ジテン</t>
    </rPh>
    <rPh sb="191" eb="193">
      <t>ネンレイ</t>
    </rPh>
    <rPh sb="196" eb="197">
      <t>サイ</t>
    </rPh>
    <rPh sb="197" eb="199">
      <t>ミマン</t>
    </rPh>
    <rPh sb="202" eb="203">
      <t>サイ</t>
    </rPh>
    <rPh sb="203" eb="205">
      <t>イジョウ</t>
    </rPh>
    <rPh sb="211" eb="213">
      <t>コウテキ</t>
    </rPh>
    <rPh sb="213" eb="215">
      <t>ネンキン</t>
    </rPh>
    <rPh sb="215" eb="217">
      <t>コウジョ</t>
    </rPh>
    <rPh sb="217" eb="218">
      <t>ガク</t>
    </rPh>
    <rPh sb="219" eb="220">
      <t>カ</t>
    </rPh>
    <rPh sb="227" eb="228">
      <t>タダ</t>
    </rPh>
    <rPh sb="230" eb="231">
      <t>ラン</t>
    </rPh>
    <rPh sb="232" eb="234">
      <t>ニュウリョク</t>
    </rPh>
    <rPh sb="243" eb="245">
      <t>ソウゴウ</t>
    </rPh>
    <rPh sb="245" eb="247">
      <t>カゼイ</t>
    </rPh>
    <rPh sb="247" eb="249">
      <t>ショトク</t>
    </rPh>
    <rPh sb="250" eb="252">
      <t>エイギョウ</t>
    </rPh>
    <rPh sb="252" eb="254">
      <t>ショトク</t>
    </rPh>
    <rPh sb="255" eb="258">
      <t>フドウサン</t>
    </rPh>
    <rPh sb="258" eb="260">
      <t>ショトク</t>
    </rPh>
    <rPh sb="261" eb="263">
      <t>ハイトウ</t>
    </rPh>
    <rPh sb="263" eb="265">
      <t>ショトク</t>
    </rPh>
    <rPh sb="266" eb="269">
      <t>ザツショトク</t>
    </rPh>
    <rPh sb="270" eb="272">
      <t>イチジ</t>
    </rPh>
    <rPh sb="272" eb="274">
      <t>ショトク</t>
    </rPh>
    <rPh sb="274" eb="275">
      <t>トウ</t>
    </rPh>
    <rPh sb="279" eb="280">
      <t>カタ</t>
    </rPh>
    <rPh sb="281" eb="283">
      <t>カクテイ</t>
    </rPh>
    <rPh sb="283" eb="285">
      <t>シンコク</t>
    </rPh>
    <rPh sb="285" eb="286">
      <t>ショ</t>
    </rPh>
    <rPh sb="286" eb="287">
      <t>ダイ</t>
    </rPh>
    <rPh sb="287" eb="289">
      <t>イチヒョウ</t>
    </rPh>
    <rPh sb="291" eb="293">
      <t>ショトク</t>
    </rPh>
    <rPh sb="293" eb="295">
      <t>キンガク</t>
    </rPh>
    <rPh sb="296" eb="297">
      <t>ラン</t>
    </rPh>
    <rPh sb="298" eb="300">
      <t>キサイ</t>
    </rPh>
    <rPh sb="305" eb="307">
      <t>キンガク</t>
    </rPh>
    <rPh sb="329" eb="331">
      <t>ニュウリョク</t>
    </rPh>
    <rPh sb="340" eb="342">
      <t>ブンリ</t>
    </rPh>
    <rPh sb="342" eb="344">
      <t>カゼイ</t>
    </rPh>
    <rPh sb="344" eb="346">
      <t>ショトク</t>
    </rPh>
    <rPh sb="347" eb="349">
      <t>サンリン</t>
    </rPh>
    <rPh sb="349" eb="351">
      <t>ショトク</t>
    </rPh>
    <rPh sb="352" eb="354">
      <t>トチ</t>
    </rPh>
    <rPh sb="354" eb="356">
      <t>タテモノ</t>
    </rPh>
    <rPh sb="357" eb="359">
      <t>ジョウト</t>
    </rPh>
    <rPh sb="359" eb="361">
      <t>ショトク</t>
    </rPh>
    <rPh sb="362" eb="364">
      <t>カブシキ</t>
    </rPh>
    <rPh sb="364" eb="365">
      <t>トウ</t>
    </rPh>
    <rPh sb="366" eb="368">
      <t>ジョウト</t>
    </rPh>
    <rPh sb="368" eb="370">
      <t>ショトク</t>
    </rPh>
    <rPh sb="371" eb="373">
      <t>ハイトウ</t>
    </rPh>
    <rPh sb="373" eb="375">
      <t>ショトク</t>
    </rPh>
    <rPh sb="375" eb="376">
      <t>トウ</t>
    </rPh>
    <rPh sb="380" eb="381">
      <t>カタ</t>
    </rPh>
    <rPh sb="383" eb="385">
      <t>シンコク</t>
    </rPh>
    <rPh sb="385" eb="387">
      <t>フヨウ</t>
    </rPh>
    <rPh sb="387" eb="389">
      <t>セイド</t>
    </rPh>
    <rPh sb="390" eb="392">
      <t>センタク</t>
    </rPh>
    <rPh sb="395" eb="397">
      <t>カクテイ</t>
    </rPh>
    <rPh sb="397" eb="399">
      <t>シンコク</t>
    </rPh>
    <rPh sb="399" eb="400">
      <t>ショ</t>
    </rPh>
    <rPh sb="404" eb="406">
      <t>ソウゴウ</t>
    </rPh>
    <rPh sb="406" eb="408">
      <t>カゼイ</t>
    </rPh>
    <rPh sb="409" eb="411">
      <t>シンコク</t>
    </rPh>
    <rPh sb="411" eb="413">
      <t>ブンリ</t>
    </rPh>
    <rPh sb="413" eb="415">
      <t>カゼイ</t>
    </rPh>
    <rPh sb="416" eb="418">
      <t>センタク</t>
    </rPh>
    <rPh sb="421" eb="423">
      <t>バアイ</t>
    </rPh>
    <rPh sb="427" eb="429">
      <t>ショトク</t>
    </rPh>
    <rPh sb="429" eb="431">
      <t>キンガク</t>
    </rPh>
    <rPh sb="432" eb="433">
      <t>ラン</t>
    </rPh>
    <rPh sb="434" eb="436">
      <t>キサイ</t>
    </rPh>
    <rPh sb="441" eb="443">
      <t>キンガク</t>
    </rPh>
    <rPh sb="444" eb="446">
      <t>ゴウケイ</t>
    </rPh>
    <rPh sb="447" eb="449">
      <t>ニュウリョク</t>
    </rPh>
    <rPh sb="458" eb="460">
      <t>カイシャ</t>
    </rPh>
    <rPh sb="461" eb="463">
      <t>トウサン</t>
    </rPh>
    <rPh sb="464" eb="466">
      <t>カイコ</t>
    </rPh>
    <rPh sb="471" eb="473">
      <t>シツギョウ</t>
    </rPh>
    <rPh sb="475" eb="477">
      <t>リショク</t>
    </rPh>
    <rPh sb="477" eb="479">
      <t>ジテン</t>
    </rPh>
    <rPh sb="480" eb="482">
      <t>ネンレイ</t>
    </rPh>
    <rPh sb="485" eb="488">
      <t>サイミマン</t>
    </rPh>
    <rPh sb="489" eb="490">
      <t>カタ</t>
    </rPh>
    <rPh sb="504" eb="505">
      <t>アリ</t>
    </rPh>
    <rPh sb="507" eb="509">
      <t>センタク</t>
    </rPh>
    <rPh sb="520" eb="522">
      <t>コヨウ</t>
    </rPh>
    <rPh sb="522" eb="524">
      <t>ホケン</t>
    </rPh>
    <rPh sb="524" eb="526">
      <t>ジュキュウ</t>
    </rPh>
    <rPh sb="526" eb="529">
      <t>シカクシャ</t>
    </rPh>
    <rPh sb="529" eb="530">
      <t>ショウ</t>
    </rPh>
    <rPh sb="534" eb="536">
      <t>ジュキュウ</t>
    </rPh>
    <rPh sb="536" eb="538">
      <t>シカク</t>
    </rPh>
    <rPh sb="538" eb="540">
      <t>ツウチ</t>
    </rPh>
    <rPh sb="544" eb="546">
      <t>リショク</t>
    </rPh>
    <rPh sb="546" eb="548">
      <t>リユウ</t>
    </rPh>
    <rPh sb="584" eb="586">
      <t>バンゴウ</t>
    </rPh>
    <rPh sb="589" eb="590">
      <t>カタ</t>
    </rPh>
    <rPh sb="591" eb="593">
      <t>タイショウ</t>
    </rPh>
    <phoneticPr fontId="2"/>
  </si>
  <si>
    <t>（子ども・子育て支援納付金課税分対応版）</t>
    <rPh sb="1" eb="2">
      <t>コ</t>
    </rPh>
    <rPh sb="5" eb="7">
      <t>コソダ</t>
    </rPh>
    <rPh sb="8" eb="10">
      <t>シエン</t>
    </rPh>
    <rPh sb="10" eb="13">
      <t>ノウフキン</t>
    </rPh>
    <rPh sb="13" eb="15">
      <t>カゼイ</t>
    </rPh>
    <rPh sb="15" eb="16">
      <t>ブン</t>
    </rPh>
    <rPh sb="16" eb="18">
      <t>タイオウ</t>
    </rPh>
    <rPh sb="18" eb="19">
      <t>バン</t>
    </rPh>
    <phoneticPr fontId="2"/>
  </si>
  <si>
    <t>給与収入　から</t>
    <phoneticPr fontId="2"/>
  </si>
  <si>
    <t>給与収入　まで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</si>
  <si>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</si>
  <si>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加入者①</t>
    <rPh sb="0" eb="2">
      <t>カニュウ</t>
    </rPh>
    <rPh sb="2" eb="3">
      <t>シャ</t>
    </rPh>
    <phoneticPr fontId="2"/>
  </si>
  <si>
    <t xml:space="preserve">     給与所得表</t>
    <phoneticPr fontId="2"/>
  </si>
  <si>
    <t>年金収入　から</t>
    <rPh sb="0" eb="2">
      <t>ネンキン</t>
    </rPh>
    <phoneticPr fontId="2"/>
  </si>
  <si>
    <t>年金収入　まで</t>
    <rPh sb="0" eb="2">
      <t>ネンキン</t>
    </rPh>
    <rPh sb="2" eb="4">
      <t>シュウニュウ</t>
    </rPh>
    <phoneticPr fontId="2"/>
  </si>
  <si>
    <t>年金所得</t>
    <rPh sb="0" eb="2">
      <t>ネンキン</t>
    </rPh>
    <rPh sb="2" eb="4">
      <t>ショトク</t>
    </rPh>
    <phoneticPr fontId="2"/>
  </si>
  <si>
    <t>65歳未満</t>
    <rPh sb="2" eb="5">
      <t>サイミマン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</si>
  <si>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</si>
  <si>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</si>
  <si>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年金（65歳未満）</t>
    <rPh sb="0" eb="2">
      <t>ネンキン</t>
    </rPh>
    <rPh sb="5" eb="6">
      <t>サイ</t>
    </rPh>
    <rPh sb="6" eb="8">
      <t>ミマン</t>
    </rPh>
    <phoneticPr fontId="2"/>
  </si>
  <si>
    <t>年金（65歳以上）</t>
    <rPh sb="0" eb="2">
      <t>ネンキン</t>
    </rPh>
    <rPh sb="5" eb="6">
      <t>サイ</t>
    </rPh>
    <rPh sb="6" eb="8">
      <t>イジョウ</t>
    </rPh>
    <phoneticPr fontId="2"/>
  </si>
  <si>
    <t>65歳以上</t>
    <rPh sb="2" eb="5">
      <t>サイイジョウ</t>
    </rPh>
    <phoneticPr fontId="2"/>
  </si>
  <si>
    <t>＊試算として、公的年金等に係る雑所得以外の合計所得金額が1000万以下のみとする</t>
    <rPh sb="1" eb="3">
      <t>シサン</t>
    </rPh>
    <rPh sb="7" eb="9">
      <t>コウテキ</t>
    </rPh>
    <rPh sb="9" eb="11">
      <t>ネンキン</t>
    </rPh>
    <rPh sb="11" eb="12">
      <t>トウ</t>
    </rPh>
    <rPh sb="13" eb="14">
      <t>カカ</t>
    </rPh>
    <rPh sb="15" eb="18">
      <t>ザツショトク</t>
    </rPh>
    <rPh sb="18" eb="20">
      <t>イガイ</t>
    </rPh>
    <rPh sb="21" eb="23">
      <t>ゴウケイ</t>
    </rPh>
    <rPh sb="23" eb="25">
      <t>ショトク</t>
    </rPh>
    <rPh sb="25" eb="27">
      <t>キンガク</t>
    </rPh>
    <rPh sb="32" eb="33">
      <t>マン</t>
    </rPh>
    <rPh sb="33" eb="35">
      <t>イカ</t>
    </rPh>
    <phoneticPr fontId="2"/>
  </si>
  <si>
    <t>（令和２年分以後）</t>
    <rPh sb="1" eb="3">
      <t>レイワ</t>
    </rPh>
    <rPh sb="4" eb="5">
      <t>ネン</t>
    </rPh>
    <rPh sb="5" eb="6">
      <t>ブン</t>
    </rPh>
    <rPh sb="6" eb="8">
      <t>イゴ</t>
    </rPh>
    <phoneticPr fontId="2"/>
  </si>
  <si>
    <t>（令和７年分以降）</t>
    <rPh sb="1" eb="3">
      <t>レイワ</t>
    </rPh>
    <rPh sb="4" eb="8">
      <t>ネンブンイコウ</t>
    </rPh>
    <phoneticPr fontId="2"/>
  </si>
  <si>
    <t>給与（非自発）</t>
    <rPh sb="0" eb="2">
      <t>キュウヨ</t>
    </rPh>
    <rPh sb="3" eb="4">
      <t>ヒ</t>
    </rPh>
    <rPh sb="4" eb="6">
      <t>ジハツ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</si>
  <si>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</si>
  <si>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特別控除該当</t>
    <rPh sb="0" eb="2">
      <t>トクベツ</t>
    </rPh>
    <rPh sb="2" eb="4">
      <t>コウジョ</t>
    </rPh>
    <rPh sb="4" eb="6">
      <t>ガイトウ</t>
    </rPh>
    <phoneticPr fontId="2"/>
  </si>
  <si>
    <t>擬主</t>
    <rPh sb="0" eb="1">
      <t>ギ</t>
    </rPh>
    <rPh sb="1" eb="2">
      <t>シュ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</si>
  <si>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</si>
  <si>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被保険者数</t>
    <rPh sb="0" eb="4">
      <t>ヒホケンシャ</t>
    </rPh>
    <rPh sb="4" eb="5">
      <t>スウ</t>
    </rPh>
    <phoneticPr fontId="2"/>
  </si>
  <si>
    <t>合計</t>
    <rPh sb="0" eb="2">
      <t>ゴウケイ</t>
    </rPh>
    <phoneticPr fontId="2"/>
  </si>
  <si>
    <t>軽減判定結果</t>
    <rPh sb="0" eb="2">
      <t>ケイゲン</t>
    </rPh>
    <rPh sb="2" eb="4">
      <t>ハンテイ</t>
    </rPh>
    <rPh sb="4" eb="6">
      <t>ケッカ</t>
    </rPh>
    <phoneticPr fontId="2"/>
  </si>
  <si>
    <t>７割軽減基準</t>
    <rPh sb="1" eb="2">
      <t>ワリ</t>
    </rPh>
    <rPh sb="2" eb="4">
      <t>ケイゲン</t>
    </rPh>
    <rPh sb="4" eb="6">
      <t>キジュン</t>
    </rPh>
    <phoneticPr fontId="2"/>
  </si>
  <si>
    <t>５割軽減基準</t>
    <rPh sb="1" eb="2">
      <t>ワリ</t>
    </rPh>
    <rPh sb="2" eb="4">
      <t>ケイゲン</t>
    </rPh>
    <rPh sb="4" eb="6">
      <t>キジュン</t>
    </rPh>
    <phoneticPr fontId="2"/>
  </si>
  <si>
    <t>２割軽減基準</t>
    <rPh sb="1" eb="2">
      <t>ワリ</t>
    </rPh>
    <rPh sb="2" eb="4">
      <t>ケイゲン</t>
    </rPh>
    <rPh sb="4" eb="6">
      <t>キジュン</t>
    </rPh>
    <phoneticPr fontId="2"/>
  </si>
  <si>
    <t>基礎控除</t>
    <rPh sb="0" eb="2">
      <t>キソ</t>
    </rPh>
    <rPh sb="2" eb="4">
      <t>コウジョ</t>
    </rPh>
    <phoneticPr fontId="2"/>
  </si>
  <si>
    <t>加算</t>
    <rPh sb="0" eb="2">
      <t>カサン</t>
    </rPh>
    <phoneticPr fontId="2"/>
  </si>
  <si>
    <t>基準合計</t>
    <rPh sb="0" eb="2">
      <t>キジュン</t>
    </rPh>
    <rPh sb="2" eb="4">
      <t>ゴウケイ</t>
    </rPh>
    <phoneticPr fontId="2"/>
  </si>
  <si>
    <t>全</t>
    <rPh sb="0" eb="1">
      <t>ゼン</t>
    </rPh>
    <phoneticPr fontId="2"/>
  </si>
  <si>
    <t>税率・税額</t>
    <rPh sb="0" eb="2">
      <t>ゼイリツ</t>
    </rPh>
    <rPh sb="3" eb="5">
      <t>ゼイガク</t>
    </rPh>
    <phoneticPr fontId="2"/>
  </si>
  <si>
    <t>８年度</t>
    <rPh sb="1" eb="3">
      <t>ネンド</t>
    </rPh>
    <phoneticPr fontId="2"/>
  </si>
  <si>
    <t>軽減なし</t>
    <rPh sb="0" eb="2">
      <t>ケイゲン</t>
    </rPh>
    <phoneticPr fontId="2"/>
  </si>
  <si>
    <t>軽減区分</t>
    <rPh sb="0" eb="2">
      <t>ケイゲン</t>
    </rPh>
    <rPh sb="2" eb="4">
      <t>クブン</t>
    </rPh>
    <phoneticPr fontId="2"/>
  </si>
  <si>
    <t>７割軽減</t>
    <rPh sb="1" eb="2">
      <t>ワリ</t>
    </rPh>
    <rPh sb="2" eb="4">
      <t>ケイゲン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</si>
  <si>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</si>
  <si>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</si>
  <si>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未就学児</t>
    <rPh sb="0" eb="4">
      <t>ミシュウガクジ</t>
    </rPh>
    <phoneticPr fontId="2"/>
  </si>
  <si>
    <t>積算合計（G)
（A+B)</t>
    <rPh sb="0" eb="2">
      <t>セキサン</t>
    </rPh>
    <rPh sb="2" eb="4">
      <t>ゴウケイ</t>
    </rPh>
    <phoneticPr fontId="2"/>
  </si>
  <si>
    <t>積算合計（H)
（D+E+F+G）</t>
    <rPh sb="0" eb="2">
      <t>セキサン</t>
    </rPh>
    <rPh sb="2" eb="4">
      <t>ゴウケイ</t>
    </rPh>
    <phoneticPr fontId="2"/>
  </si>
  <si>
    <t>介護該当</t>
    <rPh sb="0" eb="2">
      <t>カイゴ</t>
    </rPh>
    <rPh sb="2" eb="4">
      <t>ガイトウ</t>
    </rPh>
    <phoneticPr fontId="2"/>
  </si>
  <si>
    <t>18歳未満</t>
    <rPh sb="2" eb="5">
      <t>サイミマン</t>
    </rPh>
    <phoneticPr fontId="2"/>
  </si>
  <si>
    <t>介護なし</t>
  </si>
  <si>
    <t>介護なし</t>
    <rPh sb="0" eb="2">
      <t>カイゴ</t>
    </rPh>
    <phoneticPr fontId="2"/>
  </si>
  <si>
    <t>介護あり</t>
  </si>
  <si>
    <t>介護あり</t>
    <rPh sb="0" eb="2">
      <t>カイゴ</t>
    </rPh>
    <phoneticPr fontId="2"/>
  </si>
  <si>
    <t>介護なし</t>
    <phoneticPr fontId="2"/>
  </si>
  <si>
    <t>年齢</t>
    <rPh sb="0" eb="2">
      <t>ネンレイ</t>
    </rPh>
    <phoneticPr fontId="2"/>
  </si>
  <si>
    <t>課税対象所得額</t>
  </si>
  <si>
    <t>介護２号該当</t>
    <phoneticPr fontId="2"/>
  </si>
  <si>
    <t>被保険者</t>
    <rPh sb="0" eb="4">
      <t>ヒホケンシャ</t>
    </rPh>
    <phoneticPr fontId="2"/>
  </si>
  <si>
    <t>合計</t>
    <rPh sb="0" eb="2">
      <t>ゴウケイケイ</t>
    </rPh>
    <phoneticPr fontId="2"/>
  </si>
  <si>
    <t>区分</t>
    <rPh sb="0" eb="2">
      <t>クブン</t>
    </rPh>
    <phoneticPr fontId="2"/>
  </si>
  <si>
    <t>加入者</t>
    <rPh sb="0" eb="2">
      <t>カニュウ</t>
    </rPh>
    <rPh sb="2" eb="3">
      <t>シャ</t>
    </rPh>
    <phoneticPr fontId="2"/>
  </si>
  <si>
    <t>計</t>
    <rPh sb="0" eb="1">
      <t>ケイ</t>
    </rPh>
    <phoneticPr fontId="2"/>
  </si>
  <si>
    <t>軽減判定後税額</t>
    <rPh sb="0" eb="2">
      <t>ケイゲン</t>
    </rPh>
    <rPh sb="2" eb="4">
      <t>ハンテイ</t>
    </rPh>
    <rPh sb="4" eb="5">
      <t>ゴ</t>
    </rPh>
    <rPh sb="5" eb="7">
      <t>ゼイガク</t>
    </rPh>
    <phoneticPr fontId="2"/>
  </si>
  <si>
    <t>軽減なし税額</t>
    <rPh sb="0" eb="2">
      <t>ケイゲン</t>
    </rPh>
    <rPh sb="4" eb="6">
      <t>ゼイガク</t>
    </rPh>
    <phoneticPr fontId="2"/>
  </si>
  <si>
    <t>介護あり</t>
    <phoneticPr fontId="2"/>
  </si>
  <si>
    <t>18歳未満</t>
    <rPh sb="2" eb="5">
      <t>サイミマン</t>
    </rPh>
    <phoneticPr fontId="2"/>
  </si>
  <si>
    <t>軽減額</t>
    <rPh sb="0" eb="2">
      <t>ケイゲン</t>
    </rPh>
    <rPh sb="2" eb="3">
      <t>ガク</t>
    </rPh>
    <phoneticPr fontId="2"/>
  </si>
  <si>
    <t>軽減なし</t>
    <phoneticPr fontId="2"/>
  </si>
  <si>
    <t>軽減あり</t>
    <phoneticPr fontId="2"/>
  </si>
  <si>
    <t>軽減額（I)</t>
    <rPh sb="0" eb="2">
      <t>ケイゲン</t>
    </rPh>
    <rPh sb="2" eb="3">
      <t>ガク</t>
    </rPh>
    <phoneticPr fontId="2"/>
  </si>
  <si>
    <t>年税額
（H）－（I)</t>
    <phoneticPr fontId="2"/>
  </si>
  <si>
    <t>切り捨て</t>
    <rPh sb="0" eb="1">
      <t>キ</t>
    </rPh>
    <rPh sb="2" eb="3">
      <t>ス</t>
    </rPh>
    <phoneticPr fontId="2"/>
  </si>
  <si>
    <t>１回目</t>
    <rPh sb="1" eb="3">
      <t>カイメ</t>
    </rPh>
    <phoneticPr fontId="2"/>
  </si>
  <si>
    <t>納通発送月</t>
    <rPh sb="0" eb="2">
      <t>ノウツウ</t>
    </rPh>
    <rPh sb="2" eb="4">
      <t>ハッソウ</t>
    </rPh>
    <rPh sb="4" eb="5">
      <t>ツキ</t>
    </rPh>
    <phoneticPr fontId="2"/>
  </si>
  <si>
    <t>納付回数</t>
    <rPh sb="0" eb="2">
      <t>ノウフ</t>
    </rPh>
    <rPh sb="2" eb="4">
      <t>カイスウ</t>
    </rPh>
    <phoneticPr fontId="2"/>
  </si>
  <si>
    <t>年税額／納付回数</t>
    <rPh sb="0" eb="3">
      <t>ネンゼイガク</t>
    </rPh>
    <rPh sb="4" eb="6">
      <t>ノウフ</t>
    </rPh>
    <rPh sb="6" eb="8">
      <t>カイスウ</t>
    </rPh>
    <phoneticPr fontId="2"/>
  </si>
  <si>
    <t>1,000円未満切り捨て</t>
    <rPh sb="5" eb="6">
      <t>エン</t>
    </rPh>
    <rPh sb="6" eb="8">
      <t>ミマン</t>
    </rPh>
    <rPh sb="8" eb="9">
      <t>キ</t>
    </rPh>
    <rPh sb="10" eb="11">
      <t>ス</t>
    </rPh>
    <phoneticPr fontId="2"/>
  </si>
  <si>
    <t>２回目以降計</t>
    <rPh sb="1" eb="2">
      <t>カイ</t>
    </rPh>
    <rPh sb="2" eb="3">
      <t>メ</t>
    </rPh>
    <rPh sb="3" eb="5">
      <t>イコウ</t>
    </rPh>
    <rPh sb="5" eb="6">
      <t>ケイ</t>
    </rPh>
    <phoneticPr fontId="2"/>
  </si>
  <si>
    <t>２回目以降</t>
    <rPh sb="1" eb="3">
      <t>カイメ</t>
    </rPh>
    <rPh sb="3" eb="5">
      <t>イコウ</t>
    </rPh>
    <phoneticPr fontId="2"/>
  </si>
  <si>
    <t>年税額-２回名以降計</t>
    <rPh sb="0" eb="3">
      <t>ネンゼイガク</t>
    </rPh>
    <rPh sb="5" eb="6">
      <t>カイ</t>
    </rPh>
    <rPh sb="6" eb="7">
      <t>メイ</t>
    </rPh>
    <rPh sb="7" eb="9">
      <t>イコウ</t>
    </rPh>
    <rPh sb="9" eb="10">
      <t>ケイ</t>
    </rPh>
    <phoneticPr fontId="2"/>
  </si>
  <si>
    <t>期別納付額</t>
    <rPh sb="0" eb="1">
      <t>キ</t>
    </rPh>
    <rPh sb="1" eb="2">
      <t>ベツ</t>
    </rPh>
    <rPh sb="2" eb="4">
      <t>ノウフ</t>
    </rPh>
    <rPh sb="4" eb="5">
      <t>ガク</t>
    </rPh>
    <phoneticPr fontId="2"/>
  </si>
  <si>
    <t>分離課税所得</t>
    <rPh sb="0" eb="2">
      <t>ブンリ</t>
    </rPh>
    <rPh sb="2" eb="4">
      <t>カゼイ</t>
    </rPh>
    <rPh sb="4" eb="6">
      <t>ショトク</t>
    </rPh>
    <phoneticPr fontId="2"/>
  </si>
  <si>
    <t>令和8年度　浦安市国民健康保険税　税額試算結果</t>
    <phoneticPr fontId="2"/>
  </si>
  <si>
    <t>後期高齢者
支援金等分</t>
    <rPh sb="0" eb="2">
      <t>コウキ</t>
    </rPh>
    <rPh sb="2" eb="5">
      <t>コウレイシャ</t>
    </rPh>
    <rPh sb="6" eb="8">
      <t>シエン</t>
    </rPh>
    <rPh sb="8" eb="9">
      <t>キン</t>
    </rPh>
    <rPh sb="9" eb="10">
      <t>トウ</t>
    </rPh>
    <rPh sb="10" eb="11">
      <t>ブン</t>
    </rPh>
    <phoneticPr fontId="2"/>
  </si>
  <si>
    <t>入力は以上です。
試算結果は、次ページ
をご覧ください。</t>
    <rPh sb="0" eb="2">
      <t>ニュウリョク</t>
    </rPh>
    <rPh sb="3" eb="5">
      <t>イジョウ</t>
    </rPh>
    <rPh sb="9" eb="11">
      <t>シサン</t>
    </rPh>
    <rPh sb="11" eb="13">
      <t>ケッカ</t>
    </rPh>
    <rPh sb="15" eb="16">
      <t>ツギ</t>
    </rPh>
    <rPh sb="22" eb="23">
      <t>ラン</t>
    </rPh>
    <phoneticPr fontId="2"/>
  </si>
  <si>
    <t>≪納入通知（期割税額）≫</t>
    <rPh sb="1" eb="3">
      <t>ノウニュウ</t>
    </rPh>
    <rPh sb="3" eb="5">
      <t>ツウチ</t>
    </rPh>
    <rPh sb="6" eb="7">
      <t>キ</t>
    </rPh>
    <rPh sb="7" eb="8">
      <t>ワ</t>
    </rPh>
    <rPh sb="8" eb="10">
      <t>ゼイガク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</si>
</sst>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#&quot;円&quot;"/>
    <numFmt numFmtId="177" formatCode="#,###&quot;人&quot;"/>
    <numFmt numFmtId="178" formatCode="0.0%"/>
    <numFmt numFmtId="179" formatCode="\ #,###&quot;円&quot;"/>
    <numFmt numFmtId="180" formatCode="\ \ #,###&quot;円&quot;"/>
    <numFmt numFmtId="181" formatCode="#,##0&quot;ヶ&quot;&quot;月&quot;"/>
    <numFmt numFmtId="182" formatCode="&quot;各&quot;\ #,###&quot;円&quot;"/>
    <numFmt numFmtId="183" formatCode="#,##0_ "/>
    <numFmt numFmtId="184" formatCode="m/d&quot;時&quot;&quot;点&quot;&quot;の&quot;&quot;年&quot;&quot;齢&quot;"/>
    <numFmt numFmtId="185" formatCode="#,##0;&quot;▲ &quot;#,##0"/>
    <numFmt numFmtId="186" formatCode="#,##0.0000;&quot;▲ &quot;#,##0.000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3"/>
      <name val="游ゴシック"/>
      <family val="3"/>
      <charset val="128"/>
    </font>
    <font>
      <sz val="13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22"/>
      <color theme="0"/>
      <name val="游ゴシック"/>
      <family val="3"/>
      <charset val="128"/>
    </font>
    <font>
      <sz val="11"/>
      <color indexed="81"/>
      <name val="HGPｺﾞｼｯｸE"/>
      <family val="3"/>
      <charset val="128"/>
    </font>
    <font>
      <sz val="16"/>
      <color rgb="FF000000"/>
      <name val="ＭＳ Ｐゴシック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44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4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/>
    <xf numFmtId="176" fontId="4" fillId="0" borderId="8" xfId="0" applyNumberFormat="1" applyFont="1" applyFill="1" applyBorder="1" applyAlignment="1" applyProtection="1">
      <alignment horizontal="left" vertical="center"/>
    </xf>
    <xf numFmtId="176" fontId="4" fillId="0" borderId="23" xfId="0" applyNumberFormat="1" applyFont="1" applyBorder="1" applyAlignment="1" applyProtection="1">
      <alignment horizontal="center" vertical="center"/>
    </xf>
    <xf numFmtId="183" fontId="4" fillId="0" borderId="1" xfId="0" applyNumberFormat="1" applyFont="1" applyFill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6" fontId="8" fillId="1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vertical="center"/>
      <protection locked="0"/>
    </xf>
    <xf numFmtId="176" fontId="3" fillId="0" borderId="26" xfId="0" applyNumberFormat="1" applyFont="1" applyBorder="1" applyAlignment="1" applyProtection="1">
      <alignment horizontal="right" vertical="center"/>
    </xf>
    <xf numFmtId="176" fontId="3" fillId="4" borderId="26" xfId="0" applyNumberFormat="1" applyFont="1" applyFill="1" applyBorder="1" applyAlignment="1" applyProtection="1">
      <alignment horizontal="right" vertical="center"/>
      <protection locked="0"/>
    </xf>
    <xf numFmtId="176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/>
    <xf numFmtId="0" fontId="5" fillId="10" borderId="0" xfId="0" applyFont="1" applyFill="1"/>
    <xf numFmtId="0" fontId="5" fillId="10" borderId="0" xfId="0" applyFont="1" applyFill="1" applyAlignment="1">
      <alignment vertical="center"/>
    </xf>
    <xf numFmtId="0" fontId="4" fillId="10" borderId="0" xfId="0" applyFont="1" applyFill="1"/>
    <xf numFmtId="177" fontId="5" fillId="10" borderId="0" xfId="0" applyNumberFormat="1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Border="1" applyAlignment="1" applyProtection="1">
      <alignment horizontal="center" vertical="center"/>
      <protection locked="0"/>
    </xf>
    <xf numFmtId="0" fontId="6" fillId="1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5" fillId="10" borderId="0" xfId="0" applyFont="1" applyFill="1" applyAlignment="1">
      <alignment horizontal="right" vertical="center"/>
    </xf>
    <xf numFmtId="0" fontId="5" fillId="10" borderId="0" xfId="0" applyFont="1" applyFill="1" applyAlignment="1">
      <alignment horizontal="center" vertical="center"/>
    </xf>
    <xf numFmtId="0" fontId="6" fillId="10" borderId="0" xfId="0" applyFont="1" applyFill="1"/>
    <xf numFmtId="0" fontId="3" fillId="10" borderId="0" xfId="0" applyFont="1" applyFill="1"/>
    <xf numFmtId="0" fontId="6" fillId="10" borderId="0" xfId="0" applyFont="1" applyFill="1" applyAlignment="1">
      <alignment horizontal="center" vertical="center"/>
    </xf>
    <xf numFmtId="176" fontId="6" fillId="10" borderId="0" xfId="0" applyNumberFormat="1" applyFont="1" applyFill="1" applyBorder="1" applyAlignment="1" applyProtection="1">
      <alignment horizontal="right" vertical="center"/>
    </xf>
    <xf numFmtId="0" fontId="6" fillId="10" borderId="0" xfId="0" applyFont="1" applyFill="1" applyBorder="1" applyAlignment="1" applyProtection="1">
      <alignment horizontal="center" vertical="center"/>
      <protection locked="0"/>
    </xf>
    <xf numFmtId="0" fontId="3" fillId="10" borderId="0" xfId="0" applyFont="1" applyFill="1" applyBorder="1" applyAlignment="1">
      <alignment vertical="center"/>
    </xf>
    <xf numFmtId="176" fontId="4" fillId="10" borderId="0" xfId="0" applyNumberFormat="1" applyFont="1" applyFill="1" applyBorder="1" applyAlignment="1" applyProtection="1">
      <alignment horizontal="center" vertical="center"/>
      <protection locked="0"/>
    </xf>
    <xf numFmtId="176" fontId="4" fillId="10" borderId="0" xfId="0" applyNumberFormat="1" applyFont="1" applyFill="1" applyBorder="1" applyAlignment="1" applyProtection="1">
      <alignment horizontal="right" vertical="center"/>
    </xf>
    <xf numFmtId="176" fontId="4" fillId="10" borderId="0" xfId="0" applyNumberFormat="1" applyFont="1" applyFill="1" applyBorder="1"/>
    <xf numFmtId="176" fontId="3" fillId="10" borderId="0" xfId="0" applyNumberFormat="1" applyFont="1" applyFill="1" applyBorder="1" applyAlignment="1" applyProtection="1">
      <alignment vertical="center"/>
      <protection locked="0"/>
    </xf>
    <xf numFmtId="183" fontId="3" fillId="10" borderId="0" xfId="0" applyNumberFormat="1" applyFont="1" applyFill="1" applyBorder="1" applyAlignment="1" applyProtection="1">
      <alignment horizontal="right" vertical="center"/>
    </xf>
    <xf numFmtId="0" fontId="7" fillId="11" borderId="26" xfId="0" applyFont="1" applyFill="1" applyBorder="1" applyAlignment="1">
      <alignment horizontal="center" vertical="center" shrinkToFit="1"/>
    </xf>
    <xf numFmtId="0" fontId="12" fillId="10" borderId="0" xfId="0" applyFont="1" applyFill="1" applyAlignment="1">
      <alignment vertical="center"/>
    </xf>
    <xf numFmtId="0" fontId="12" fillId="10" borderId="0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left" vertical="center"/>
    </xf>
    <xf numFmtId="0" fontId="13" fillId="14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14" fillId="10" borderId="0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center"/>
    </xf>
    <xf numFmtId="176" fontId="4" fillId="0" borderId="37" xfId="0" applyNumberFormat="1" applyFont="1" applyFill="1" applyBorder="1" applyAlignment="1" applyProtection="1">
      <alignment horizontal="right" vertical="center"/>
    </xf>
    <xf numFmtId="176" fontId="4" fillId="4" borderId="37" xfId="0" applyNumberFormat="1" applyFont="1" applyFill="1" applyBorder="1" applyAlignment="1" applyProtection="1">
      <alignment horizontal="right" vertical="center"/>
      <protection locked="0"/>
    </xf>
    <xf numFmtId="179" fontId="5" fillId="4" borderId="26" xfId="0" applyNumberFormat="1" applyFont="1" applyFill="1" applyBorder="1" applyAlignment="1" applyProtection="1">
      <alignment horizontal="right" vertical="center"/>
      <protection locked="0"/>
    </xf>
    <xf numFmtId="0" fontId="12" fillId="10" borderId="1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176" fontId="4" fillId="0" borderId="43" xfId="0" applyNumberFormat="1" applyFont="1" applyFill="1" applyBorder="1" applyAlignment="1" applyProtection="1">
      <alignment horizontal="center" vertical="center"/>
    </xf>
    <xf numFmtId="176" fontId="4" fillId="0" borderId="44" xfId="0" applyNumberFormat="1" applyFont="1" applyFill="1" applyBorder="1" applyAlignment="1" applyProtection="1">
      <alignment horizontal="center" vertical="center"/>
    </xf>
    <xf numFmtId="176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/>
    </xf>
    <xf numFmtId="0" fontId="9" fillId="11" borderId="3" xfId="0" applyFont="1" applyFill="1" applyBorder="1" applyAlignment="1" applyProtection="1">
      <alignment horizontal="center" vertical="center" wrapText="1"/>
    </xf>
    <xf numFmtId="176" fontId="4" fillId="0" borderId="26" xfId="0" applyNumberFormat="1" applyFont="1" applyBorder="1" applyAlignment="1" applyProtection="1">
      <alignment vertical="center"/>
    </xf>
    <xf numFmtId="10" fontId="4" fillId="0" borderId="26" xfId="0" applyNumberFormat="1" applyFont="1" applyBorder="1" applyAlignment="1" applyProtection="1">
      <alignment vertical="center"/>
    </xf>
    <xf numFmtId="177" fontId="4" fillId="0" borderId="26" xfId="0" applyNumberFormat="1" applyFont="1" applyBorder="1" applyAlignment="1" applyProtection="1">
      <alignment vertical="center"/>
    </xf>
    <xf numFmtId="179" fontId="4" fillId="0" borderId="26" xfId="0" applyNumberFormat="1" applyFont="1" applyBorder="1" applyAlignment="1" applyProtection="1">
      <alignment vertical="center"/>
    </xf>
    <xf numFmtId="0" fontId="9" fillId="12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176" fontId="7" fillId="6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3" fillId="17" borderId="0" xfId="0" applyFont="1" applyFill="1" applyProtection="1"/>
    <xf numFmtId="0" fontId="12" fillId="17" borderId="0" xfId="0" applyFont="1" applyFill="1" applyAlignment="1" applyProtection="1">
      <alignment vertical="center"/>
    </xf>
    <xf numFmtId="0" fontId="6" fillId="17" borderId="0" xfId="0" applyFont="1" applyFill="1" applyAlignment="1" applyProtection="1">
      <alignment vertical="center"/>
    </xf>
    <xf numFmtId="0" fontId="6" fillId="17" borderId="0" xfId="0" applyFont="1" applyFill="1" applyProtection="1"/>
    <xf numFmtId="0" fontId="8" fillId="17" borderId="0" xfId="0" applyFont="1" applyFill="1" applyAlignment="1" applyProtection="1">
      <alignment horizontal="center" vertical="center"/>
    </xf>
    <xf numFmtId="177" fontId="8" fillId="17" borderId="0" xfId="0" applyNumberFormat="1" applyFont="1" applyFill="1" applyBorder="1" applyAlignment="1" applyProtection="1">
      <alignment horizontal="center" vertical="center"/>
    </xf>
    <xf numFmtId="49" fontId="8" fillId="17" borderId="0" xfId="0" applyNumberFormat="1" applyFont="1" applyFill="1" applyAlignment="1" applyProtection="1">
      <alignment horizontal="center" vertical="center"/>
    </xf>
    <xf numFmtId="181" fontId="8" fillId="17" borderId="0" xfId="0" applyNumberFormat="1" applyFont="1" applyFill="1" applyBorder="1" applyAlignment="1" applyProtection="1">
      <alignment vertical="center"/>
    </xf>
    <xf numFmtId="0" fontId="8" fillId="17" borderId="0" xfId="0" applyFont="1" applyFill="1" applyBorder="1" applyAlignment="1" applyProtection="1">
      <alignment vertical="center"/>
    </xf>
    <xf numFmtId="0" fontId="8" fillId="17" borderId="0" xfId="0" applyFont="1" applyFill="1" applyBorder="1" applyAlignment="1" applyProtection="1">
      <alignment horizontal="left" vertical="center"/>
    </xf>
    <xf numFmtId="0" fontId="8" fillId="17" borderId="0" xfId="0" applyFont="1" applyFill="1" applyBorder="1" applyAlignment="1" applyProtection="1">
      <alignment horizontal="right" vertical="center"/>
    </xf>
    <xf numFmtId="0" fontId="15" fillId="10" borderId="0" xfId="0" applyFont="1" applyFill="1"/>
    <xf numFmtId="183" fontId="6" fillId="10" borderId="0" xfId="0" applyNumberFormat="1" applyFont="1" applyFill="1" applyAlignment="1">
      <alignment vertical="center"/>
    </xf>
    <xf numFmtId="0" fontId="6" fillId="17" borderId="0" xfId="0" applyFont="1" applyFill="1"/>
    <xf numFmtId="0" fontId="8" fillId="17" borderId="0" xfId="0" applyFont="1" applyFill="1" applyAlignment="1" applyProtection="1">
      <alignment horizontal="center" vertical="center"/>
    </xf>
    <xf numFmtId="176" fontId="7" fillId="6" borderId="6" xfId="0" applyNumberFormat="1" applyFont="1" applyFill="1" applyBorder="1" applyAlignment="1" applyProtection="1">
      <alignment horizontal="right" vertical="center"/>
    </xf>
    <xf numFmtId="176" fontId="7" fillId="6" borderId="8" xfId="0" applyNumberFormat="1" applyFont="1" applyFill="1" applyBorder="1" applyAlignment="1" applyProtection="1">
      <alignment horizontal="right" vertical="center"/>
    </xf>
    <xf numFmtId="0" fontId="8" fillId="17" borderId="0" xfId="0" applyFont="1" applyFill="1" applyAlignment="1" applyProtection="1">
      <alignment horizontal="center" vertical="center"/>
    </xf>
    <xf numFmtId="0" fontId="8" fillId="17" borderId="0" xfId="0" applyFont="1" applyFill="1" applyAlignment="1" applyProtection="1">
      <alignment horizontal="center" vertical="center"/>
    </xf>
    <xf numFmtId="0" fontId="7" fillId="17" borderId="0" xfId="0" applyFont="1" applyFill="1" applyBorder="1" applyAlignment="1" applyProtection="1">
      <alignment vertical="center"/>
    </xf>
    <xf numFmtId="0" fontId="7" fillId="17" borderId="0" xfId="0" applyFont="1" applyFill="1" applyAlignment="1" applyProtection="1">
      <alignment horizontal="center" vertical="center"/>
    </xf>
    <xf numFmtId="0" fontId="10" fillId="10" borderId="0" xfId="0" applyFont="1" applyFill="1" applyAlignment="1">
      <alignment horizontal="right" vertical="center"/>
    </xf>
    <xf numFmtId="0" fontId="10" fillId="10" borderId="0" xfId="0" applyFont="1" applyFill="1"/>
    <xf numFmtId="0" fontId="7" fillId="11" borderId="1" xfId="0" applyFont="1" applyFill="1" applyBorder="1" applyAlignment="1" applyProtection="1">
      <alignment horizontal="center" vertical="center" wrapText="1" shrinkToFit="1"/>
    </xf>
    <xf numFmtId="0" fontId="7" fillId="11" borderId="24" xfId="0" applyFont="1" applyFill="1" applyBorder="1" applyAlignment="1" applyProtection="1">
      <alignment horizontal="center" vertical="center" wrapText="1" shrinkToFit="1"/>
    </xf>
    <xf numFmtId="0" fontId="7" fillId="16" borderId="1" xfId="0" applyFont="1" applyFill="1" applyBorder="1" applyAlignment="1" applyProtection="1">
      <alignment horizontal="center" vertical="center" wrapText="1" shrinkToFit="1"/>
    </xf>
    <xf numFmtId="0" fontId="7" fillId="12" borderId="1" xfId="0" applyFont="1" applyFill="1" applyBorder="1" applyAlignment="1" applyProtection="1">
      <alignment horizontal="center" vertical="center" wrapText="1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6" borderId="1" xfId="0" applyFont="1" applyFill="1" applyBorder="1" applyAlignment="1" applyProtection="1">
      <alignment horizontal="center" vertical="center" shrinkToFit="1"/>
    </xf>
    <xf numFmtId="0" fontId="7" fillId="12" borderId="1" xfId="0" applyFont="1" applyFill="1" applyBorder="1" applyAlignment="1" applyProtection="1">
      <alignment horizontal="center" vertical="center" shrinkToFit="1"/>
    </xf>
    <xf numFmtId="176" fontId="7" fillId="0" borderId="46" xfId="0" applyNumberFormat="1" applyFont="1" applyBorder="1" applyAlignment="1">
      <alignment vertical="center"/>
    </xf>
    <xf numFmtId="0" fontId="7" fillId="0" borderId="0" xfId="0" applyFont="1" applyAlignment="1" applyProtection="1">
      <alignment horizontal="center" vertical="center"/>
    </xf>
    <xf numFmtId="0" fontId="8" fillId="17" borderId="0" xfId="0" applyFont="1" applyFill="1" applyAlignment="1" applyProtection="1">
      <alignment horizontal="left" vertical="center"/>
    </xf>
    <xf numFmtId="0" fontId="8" fillId="17" borderId="0" xfId="0" applyFont="1" applyFill="1" applyAlignment="1" applyProtection="1">
      <alignment horizontal="center" vertical="center"/>
    </xf>
    <xf numFmtId="177" fontId="4" fillId="0" borderId="53" xfId="0" applyNumberFormat="1" applyFont="1" applyBorder="1" applyAlignment="1" applyProtection="1">
      <alignment vertical="center"/>
    </xf>
    <xf numFmtId="179" fontId="4" fillId="0" borderId="53" xfId="0" applyNumberFormat="1" applyFont="1" applyBorder="1" applyAlignment="1" applyProtection="1">
      <alignment vertical="center"/>
    </xf>
    <xf numFmtId="177" fontId="4" fillId="0" borderId="56" xfId="0" applyNumberFormat="1" applyFont="1" applyBorder="1" applyAlignment="1" applyProtection="1">
      <alignment vertical="center"/>
    </xf>
    <xf numFmtId="179" fontId="4" fillId="0" borderId="56" xfId="0" applyNumberFormat="1" applyFont="1" applyBorder="1" applyAlignment="1" applyProtection="1">
      <alignment vertical="center"/>
    </xf>
    <xf numFmtId="0" fontId="9" fillId="11" borderId="34" xfId="0" applyFont="1" applyFill="1" applyBorder="1" applyAlignment="1" applyProtection="1">
      <alignment horizontal="center" vertical="center" wrapText="1" shrinkToFit="1"/>
    </xf>
    <xf numFmtId="0" fontId="9" fillId="16" borderId="16" xfId="0" applyFont="1" applyFill="1" applyBorder="1" applyAlignment="1" applyProtection="1">
      <alignment horizontal="center" vertical="center" wrapText="1" shrinkToFit="1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7" borderId="49" xfId="0" applyFont="1" applyFill="1" applyBorder="1" applyAlignment="1" applyProtection="1">
      <alignment horizontal="center" vertical="center"/>
    </xf>
    <xf numFmtId="0" fontId="7" fillId="7" borderId="46" xfId="0" applyFont="1" applyFill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180" fontId="7" fillId="0" borderId="49" xfId="0" applyNumberFormat="1" applyFont="1" applyBorder="1" applyAlignment="1" applyProtection="1">
      <alignment vertical="center"/>
    </xf>
    <xf numFmtId="180" fontId="7" fillId="0" borderId="46" xfId="0" applyNumberFormat="1" applyFont="1" applyBorder="1" applyAlignment="1" applyProtection="1">
      <alignment vertical="center"/>
    </xf>
    <xf numFmtId="38" fontId="6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15" fillId="0" borderId="0" xfId="2" applyFont="1" applyAlignment="1">
      <alignment vertical="center"/>
    </xf>
    <xf numFmtId="38" fontId="6" fillId="0" borderId="0" xfId="2" applyFont="1" applyAlignment="1">
      <alignment horizontal="center" vertical="center"/>
    </xf>
    <xf numFmtId="38" fontId="6" fillId="0" borderId="0" xfId="2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38" fontId="4" fillId="0" borderId="0" xfId="2" applyFont="1" applyAlignment="1">
      <alignment vertical="center" shrinkToFit="1"/>
    </xf>
    <xf numFmtId="184" fontId="4" fillId="0" borderId="0" xfId="2" applyNumberFormat="1" applyFont="1" applyAlignment="1">
      <alignment vertical="center" shrinkToFit="1"/>
    </xf>
    <xf numFmtId="14" fontId="4" fillId="20" borderId="0" xfId="2" applyNumberFormat="1" applyFont="1" applyFill="1" applyAlignment="1" applyProtection="1">
      <alignment vertical="center" shrinkToFit="1"/>
      <protection locked="0"/>
    </xf>
    <xf numFmtId="0" fontId="8" fillId="17" borderId="0" xfId="0" applyFont="1" applyFill="1" applyAlignment="1" applyProtection="1">
      <alignment horizontal="center" vertical="center"/>
    </xf>
    <xf numFmtId="0" fontId="7" fillId="19" borderId="1" xfId="0" applyFont="1" applyFill="1" applyBorder="1" applyAlignment="1" applyProtection="1">
      <alignment horizontal="center" vertical="center" shrinkToFit="1"/>
    </xf>
    <xf numFmtId="0" fontId="7" fillId="19" borderId="1" xfId="0" applyFont="1" applyFill="1" applyBorder="1" applyAlignment="1" applyProtection="1">
      <alignment horizontal="center" vertical="center" wrapText="1" shrinkToFit="1"/>
    </xf>
    <xf numFmtId="0" fontId="9" fillId="19" borderId="8" xfId="0" applyFont="1" applyFill="1" applyBorder="1" applyAlignment="1" applyProtection="1">
      <alignment horizontal="center" vertical="center" wrapText="1" shrinkToFit="1"/>
    </xf>
    <xf numFmtId="179" fontId="4" fillId="0" borderId="56" xfId="0" applyNumberFormat="1" applyFont="1" applyBorder="1" applyAlignment="1" applyProtection="1">
      <alignment horizontal="right" vertical="center"/>
    </xf>
    <xf numFmtId="185" fontId="20" fillId="8" borderId="0" xfId="3" applyNumberFormat="1" applyFont="1" applyFill="1" applyAlignment="1">
      <alignment vertical="center"/>
    </xf>
    <xf numFmtId="185" fontId="20" fillId="0" borderId="0" xfId="3" applyNumberFormat="1" applyFont="1" applyFill="1" applyAlignment="1">
      <alignment vertical="center"/>
    </xf>
    <xf numFmtId="185" fontId="20" fillId="0" borderId="0" xfId="0" applyNumberFormat="1" applyFont="1" applyFill="1" applyAlignment="1">
      <alignment vertical="center"/>
    </xf>
    <xf numFmtId="185" fontId="20" fillId="8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185" fontId="20" fillId="0" borderId="0" xfId="2" applyNumberFormat="1" applyFont="1" applyFill="1" applyAlignment="1">
      <alignment vertical="center"/>
    </xf>
    <xf numFmtId="185" fontId="20" fillId="0" borderId="0" xfId="0" applyNumberFormat="1" applyFont="1" applyAlignment="1">
      <alignment horizontal="center" vertical="center"/>
    </xf>
    <xf numFmtId="185" fontId="20" fillId="0" borderId="0" xfId="0" applyNumberFormat="1" applyFont="1" applyAlignment="1">
      <alignment vertical="center"/>
    </xf>
    <xf numFmtId="185" fontId="20" fillId="21" borderId="1" xfId="3" applyNumberFormat="1" applyFont="1" applyFill="1" applyBorder="1" applyAlignment="1">
      <alignment horizontal="center" vertical="center"/>
    </xf>
    <xf numFmtId="185" fontId="20" fillId="20" borderId="1" xfId="3" applyNumberFormat="1" applyFont="1" applyFill="1" applyBorder="1" applyAlignment="1">
      <alignment horizontal="center" vertical="center"/>
    </xf>
    <xf numFmtId="185" fontId="20" fillId="0" borderId="1" xfId="0" applyNumberFormat="1" applyFont="1" applyBorder="1" applyAlignment="1">
      <alignment horizontal="center" vertical="center"/>
    </xf>
    <xf numFmtId="185" fontId="20" fillId="0" borderId="0" xfId="3" applyNumberFormat="1" applyFont="1" applyFill="1" applyAlignment="1">
      <alignment horizontal="center" vertical="center"/>
    </xf>
    <xf numFmtId="185" fontId="20" fillId="0" borderId="1" xfId="2" applyNumberFormat="1" applyFont="1" applyFill="1" applyBorder="1" applyAlignment="1">
      <alignment vertical="center"/>
    </xf>
    <xf numFmtId="185" fontId="20" fillId="0" borderId="1" xfId="0" applyNumberFormat="1" applyFont="1" applyBorder="1" applyAlignment="1">
      <alignment vertical="center"/>
    </xf>
    <xf numFmtId="185" fontId="20" fillId="0" borderId="0" xfId="2" applyNumberFormat="1" applyFont="1" applyAlignment="1">
      <alignment horizontal="right" vertical="center"/>
    </xf>
    <xf numFmtId="185" fontId="20" fillId="0" borderId="0" xfId="3" applyNumberFormat="1" applyFont="1" applyFill="1" applyAlignment="1">
      <alignment horizontal="right" vertical="center"/>
    </xf>
    <xf numFmtId="185" fontId="20" fillId="0" borderId="0" xfId="2" applyNumberFormat="1" applyFont="1" applyFill="1" applyBorder="1" applyAlignment="1">
      <alignment vertical="center"/>
    </xf>
    <xf numFmtId="185" fontId="20" fillId="0" borderId="1" xfId="2" applyNumberFormat="1" applyFont="1" applyBorder="1" applyAlignment="1">
      <alignment vertical="center"/>
    </xf>
    <xf numFmtId="185" fontId="20" fillId="2" borderId="0" xfId="3" applyNumberFormat="1" applyFont="1" applyFill="1" applyAlignment="1">
      <alignment horizontal="center" vertical="center"/>
    </xf>
    <xf numFmtId="185" fontId="20" fillId="21" borderId="0" xfId="3" applyNumberFormat="1" applyFont="1" applyFill="1" applyAlignment="1">
      <alignment vertical="center"/>
    </xf>
    <xf numFmtId="185" fontId="20" fillId="20" borderId="0" xfId="3" applyNumberFormat="1" applyFont="1" applyFill="1" applyAlignment="1">
      <alignment vertical="center"/>
    </xf>
    <xf numFmtId="185" fontId="20" fillId="3" borderId="0" xfId="3" applyNumberFormat="1" applyFont="1" applyFill="1" applyAlignment="1">
      <alignment vertical="center"/>
    </xf>
    <xf numFmtId="185" fontId="20" fillId="0" borderId="0" xfId="2" applyNumberFormat="1" applyFont="1" applyAlignment="1">
      <alignment vertical="center"/>
    </xf>
    <xf numFmtId="185" fontId="20" fillId="0" borderId="0" xfId="0" applyNumberFormat="1" applyFont="1" applyAlignment="1">
      <alignment horizontal="right" vertical="center"/>
    </xf>
    <xf numFmtId="185" fontId="20" fillId="0" borderId="0" xfId="0" applyNumberFormat="1" applyFont="1" applyFill="1" applyAlignment="1">
      <alignment horizontal="center" vertical="center"/>
    </xf>
    <xf numFmtId="185" fontId="20" fillId="0" borderId="1" xfId="2" applyNumberFormat="1" applyFont="1" applyFill="1" applyBorder="1" applyAlignment="1">
      <alignment horizontal="right" vertical="center"/>
    </xf>
    <xf numFmtId="185" fontId="20" fillId="0" borderId="1" xfId="2" applyNumberFormat="1" applyFont="1" applyBorder="1" applyAlignment="1">
      <alignment horizontal="right" vertical="center"/>
    </xf>
    <xf numFmtId="185" fontId="20" fillId="5" borderId="1" xfId="0" applyNumberFormat="1" applyFont="1" applyFill="1" applyBorder="1" applyAlignment="1">
      <alignment horizontal="center" vertical="center" wrapText="1"/>
    </xf>
    <xf numFmtId="185" fontId="20" fillId="0" borderId="2" xfId="0" applyNumberFormat="1" applyFont="1" applyFill="1" applyBorder="1" applyAlignment="1">
      <alignment horizontal="center" vertical="center" wrapText="1"/>
    </xf>
    <xf numFmtId="185" fontId="20" fillId="0" borderId="0" xfId="0" applyNumberFormat="1" applyFont="1" applyFill="1" applyBorder="1" applyAlignment="1">
      <alignment horizontal="center" vertical="center" wrapText="1"/>
    </xf>
    <xf numFmtId="185" fontId="20" fillId="0" borderId="1" xfId="2" applyNumberFormat="1" applyFont="1" applyBorder="1" applyAlignment="1">
      <alignment horizontal="center" vertical="center"/>
    </xf>
    <xf numFmtId="185" fontId="20" fillId="0" borderId="1" xfId="0" applyNumberFormat="1" applyFont="1" applyFill="1" applyBorder="1" applyAlignment="1">
      <alignment horizontal="center" vertical="center"/>
    </xf>
    <xf numFmtId="185" fontId="20" fillId="0" borderId="1" xfId="2" applyNumberFormat="1" applyFont="1" applyFill="1" applyBorder="1" applyAlignment="1">
      <alignment horizontal="center" vertical="center"/>
    </xf>
    <xf numFmtId="186" fontId="20" fillId="0" borderId="0" xfId="0" applyNumberFormat="1" applyFont="1" applyFill="1" applyBorder="1" applyAlignment="1">
      <alignment vertical="center"/>
    </xf>
    <xf numFmtId="185" fontId="21" fillId="0" borderId="0" xfId="2" applyNumberFormat="1" applyFont="1" applyFill="1" applyBorder="1" applyAlignment="1">
      <alignment vertical="center"/>
    </xf>
    <xf numFmtId="186" fontId="21" fillId="0" borderId="0" xfId="2" applyNumberFormat="1" applyFont="1" applyFill="1" applyBorder="1" applyAlignment="1">
      <alignment vertical="center"/>
    </xf>
    <xf numFmtId="186" fontId="20" fillId="0" borderId="0" xfId="3" applyNumberFormat="1" applyFont="1" applyFill="1" applyAlignment="1">
      <alignment vertical="center"/>
    </xf>
    <xf numFmtId="38" fontId="20" fillId="0" borderId="0" xfId="2" applyFont="1" applyFill="1" applyAlignment="1">
      <alignment vertical="center"/>
    </xf>
    <xf numFmtId="185" fontId="20" fillId="0" borderId="1" xfId="3" applyNumberFormat="1" applyFont="1" applyFill="1" applyBorder="1" applyAlignment="1">
      <alignment horizontal="center" vertical="center"/>
    </xf>
    <xf numFmtId="186" fontId="20" fillId="0" borderId="1" xfId="3" applyNumberFormat="1" applyFont="1" applyFill="1" applyBorder="1" applyAlignment="1">
      <alignment horizontal="center" vertical="center"/>
    </xf>
    <xf numFmtId="38" fontId="20" fillId="0" borderId="1" xfId="2" applyFont="1" applyFill="1" applyBorder="1" applyAlignment="1">
      <alignment horizontal="center" vertical="center"/>
    </xf>
    <xf numFmtId="38" fontId="20" fillId="0" borderId="1" xfId="2" applyFont="1" applyFill="1" applyBorder="1" applyAlignment="1">
      <alignment vertical="center"/>
    </xf>
    <xf numFmtId="185" fontId="20" fillId="0" borderId="8" xfId="0" applyNumberFormat="1" applyFont="1" applyBorder="1" applyAlignment="1">
      <alignment horizontal="center" vertical="center"/>
    </xf>
    <xf numFmtId="185" fontId="20" fillId="19" borderId="1" xfId="0" applyNumberFormat="1" applyFont="1" applyFill="1" applyBorder="1" applyAlignment="1">
      <alignment horizontal="centerContinuous" vertical="center"/>
    </xf>
    <xf numFmtId="185" fontId="20" fillId="22" borderId="7" xfId="0" applyNumberFormat="1" applyFont="1" applyFill="1" applyBorder="1" applyAlignment="1">
      <alignment horizontal="centerContinuous" vertical="center"/>
    </xf>
    <xf numFmtId="185" fontId="20" fillId="22" borderId="8" xfId="0" applyNumberFormat="1" applyFont="1" applyFill="1" applyBorder="1" applyAlignment="1">
      <alignment horizontal="centerContinuous" vertical="center"/>
    </xf>
    <xf numFmtId="185" fontId="20" fillId="22" borderId="1" xfId="0" applyNumberFormat="1" applyFont="1" applyFill="1" applyBorder="1" applyAlignment="1">
      <alignment horizontal="centerContinuous" vertical="center"/>
    </xf>
    <xf numFmtId="185" fontId="20" fillId="22" borderId="4" xfId="3" applyNumberFormat="1" applyFont="1" applyFill="1" applyBorder="1" applyAlignment="1">
      <alignment horizontal="center" vertical="center"/>
    </xf>
    <xf numFmtId="185" fontId="20" fillId="13" borderId="7" xfId="0" applyNumberFormat="1" applyFont="1" applyFill="1" applyBorder="1" applyAlignment="1">
      <alignment horizontal="centerContinuous" vertical="center"/>
    </xf>
    <xf numFmtId="185" fontId="20" fillId="13" borderId="8" xfId="0" applyNumberFormat="1" applyFont="1" applyFill="1" applyBorder="1" applyAlignment="1">
      <alignment horizontal="centerContinuous" vertical="center"/>
    </xf>
    <xf numFmtId="185" fontId="20" fillId="13" borderId="1" xfId="0" applyNumberFormat="1" applyFont="1" applyFill="1" applyBorder="1" applyAlignment="1">
      <alignment horizontal="centerContinuous" vertical="center"/>
    </xf>
    <xf numFmtId="185" fontId="20" fillId="13" borderId="1" xfId="0" applyNumberFormat="1" applyFont="1" applyFill="1" applyBorder="1" applyAlignment="1">
      <alignment horizontal="center" vertical="center" wrapText="1"/>
    </xf>
    <xf numFmtId="185" fontId="20" fillId="13" borderId="1" xfId="0" applyNumberFormat="1" applyFont="1" applyFill="1" applyBorder="1" applyAlignment="1">
      <alignment horizontal="center" vertical="center"/>
    </xf>
    <xf numFmtId="185" fontId="20" fillId="13" borderId="1" xfId="2" applyNumberFormat="1" applyFont="1" applyFill="1" applyBorder="1" applyAlignment="1">
      <alignment horizontal="center" vertical="center"/>
    </xf>
    <xf numFmtId="186" fontId="20" fillId="13" borderId="1" xfId="0" applyNumberFormat="1" applyFont="1" applyFill="1" applyBorder="1" applyAlignment="1">
      <alignment vertical="center"/>
    </xf>
    <xf numFmtId="38" fontId="20" fillId="13" borderId="1" xfId="2" applyFont="1" applyFill="1" applyBorder="1" applyAlignment="1">
      <alignment vertical="center"/>
    </xf>
    <xf numFmtId="185" fontId="20" fillId="13" borderId="1" xfId="2" applyNumberFormat="1" applyFont="1" applyFill="1" applyBorder="1" applyAlignment="1">
      <alignment vertical="center"/>
    </xf>
    <xf numFmtId="186" fontId="21" fillId="13" borderId="1" xfId="2" applyNumberFormat="1" applyFont="1" applyFill="1" applyBorder="1" applyAlignment="1">
      <alignment vertical="center"/>
    </xf>
    <xf numFmtId="185" fontId="21" fillId="13" borderId="1" xfId="2" applyNumberFormat="1" applyFont="1" applyFill="1" applyBorder="1" applyAlignment="1">
      <alignment vertical="center"/>
    </xf>
    <xf numFmtId="185" fontId="20" fillId="0" borderId="0" xfId="3" applyNumberFormat="1" applyFont="1" applyFill="1" applyBorder="1" applyAlignment="1">
      <alignment horizontal="center" vertical="center"/>
    </xf>
    <xf numFmtId="38" fontId="20" fillId="0" borderId="0" xfId="2" applyFont="1" applyFill="1" applyBorder="1" applyAlignment="1">
      <alignment vertical="center"/>
    </xf>
    <xf numFmtId="186" fontId="20" fillId="0" borderId="1" xfId="3" applyNumberFormat="1" applyFont="1" applyFill="1" applyBorder="1" applyAlignment="1">
      <alignment vertical="center"/>
    </xf>
    <xf numFmtId="186" fontId="20" fillId="0" borderId="1" xfId="2" applyNumberFormat="1" applyFont="1" applyFill="1" applyBorder="1" applyAlignment="1">
      <alignment vertical="center"/>
    </xf>
    <xf numFmtId="38" fontId="20" fillId="0" borderId="59" xfId="2" applyFont="1" applyFill="1" applyBorder="1" applyAlignment="1">
      <alignment vertical="center"/>
    </xf>
    <xf numFmtId="185" fontId="20" fillId="0" borderId="60" xfId="3" applyNumberFormat="1" applyFont="1" applyFill="1" applyBorder="1" applyAlignment="1">
      <alignment horizontal="center" vertical="center"/>
    </xf>
    <xf numFmtId="38" fontId="20" fillId="0" borderId="60" xfId="2" applyFont="1" applyFill="1" applyBorder="1" applyAlignment="1">
      <alignment vertical="center"/>
    </xf>
    <xf numFmtId="185" fontId="20" fillId="0" borderId="0" xfId="0" applyNumberFormat="1" applyFont="1" applyFill="1" applyAlignment="1">
      <alignment horizontal="right" vertical="center"/>
    </xf>
    <xf numFmtId="185" fontId="22" fillId="0" borderId="1" xfId="0" applyNumberFormat="1" applyFont="1" applyBorder="1" applyAlignment="1">
      <alignment horizontal="center" vertical="center"/>
    </xf>
    <xf numFmtId="185" fontId="22" fillId="0" borderId="1" xfId="2" applyNumberFormat="1" applyFont="1" applyBorder="1" applyAlignment="1">
      <alignment vertical="center"/>
    </xf>
    <xf numFmtId="185" fontId="23" fillId="0" borderId="1" xfId="0" applyNumberFormat="1" applyFont="1" applyBorder="1" applyAlignment="1">
      <alignment vertical="center"/>
    </xf>
    <xf numFmtId="185" fontId="23" fillId="22" borderId="7" xfId="0" applyNumberFormat="1" applyFont="1" applyFill="1" applyBorder="1" applyAlignment="1">
      <alignment horizontal="centerContinuous" vertical="center"/>
    </xf>
    <xf numFmtId="185" fontId="23" fillId="22" borderId="8" xfId="0" applyNumberFormat="1" applyFont="1" applyFill="1" applyBorder="1" applyAlignment="1">
      <alignment horizontal="centerContinuous" vertical="center"/>
    </xf>
    <xf numFmtId="185" fontId="23" fillId="22" borderId="1" xfId="0" applyNumberFormat="1" applyFont="1" applyFill="1" applyBorder="1" applyAlignment="1">
      <alignment horizontal="centerContinuous" vertical="center"/>
    </xf>
    <xf numFmtId="185" fontId="23" fillId="19" borderId="1" xfId="0" applyNumberFormat="1" applyFont="1" applyFill="1" applyBorder="1" applyAlignment="1">
      <alignment horizontal="centerContinuous" vertical="center"/>
    </xf>
    <xf numFmtId="185" fontId="23" fillId="5" borderId="1" xfId="0" applyNumberFormat="1" applyFont="1" applyFill="1" applyBorder="1" applyAlignment="1">
      <alignment horizontal="center" vertical="center" wrapText="1"/>
    </xf>
    <xf numFmtId="185" fontId="23" fillId="0" borderId="1" xfId="0" applyNumberFormat="1" applyFont="1" applyBorder="1" applyAlignment="1">
      <alignment horizontal="center" vertical="center"/>
    </xf>
    <xf numFmtId="185" fontId="23" fillId="0" borderId="1" xfId="2" applyNumberFormat="1" applyFont="1" applyBorder="1" applyAlignment="1">
      <alignment horizontal="center" vertical="center"/>
    </xf>
    <xf numFmtId="185" fontId="23" fillId="0" borderId="1" xfId="0" applyNumberFormat="1" applyFont="1" applyFill="1" applyBorder="1" applyAlignment="1">
      <alignment horizontal="center" vertical="center"/>
    </xf>
    <xf numFmtId="186" fontId="23" fillId="0" borderId="1" xfId="0" applyNumberFormat="1" applyFont="1" applyFill="1" applyBorder="1" applyAlignment="1">
      <alignment vertical="center"/>
    </xf>
    <xf numFmtId="185" fontId="23" fillId="0" borderId="1" xfId="2" applyNumberFormat="1" applyFont="1" applyFill="1" applyBorder="1" applyAlignment="1">
      <alignment vertical="center"/>
    </xf>
    <xf numFmtId="185" fontId="22" fillId="0" borderId="1" xfId="2" applyNumberFormat="1" applyFont="1" applyFill="1" applyBorder="1" applyAlignment="1">
      <alignment vertical="center"/>
    </xf>
    <xf numFmtId="186" fontId="22" fillId="0" borderId="1" xfId="2" applyNumberFormat="1" applyFont="1" applyFill="1" applyBorder="1" applyAlignment="1">
      <alignment vertical="center"/>
    </xf>
    <xf numFmtId="185" fontId="23" fillId="0" borderId="1" xfId="0" applyNumberFormat="1" applyFont="1" applyFill="1" applyBorder="1" applyAlignment="1">
      <alignment vertical="center"/>
    </xf>
    <xf numFmtId="185" fontId="23" fillId="0" borderId="1" xfId="2" applyNumberFormat="1" applyFont="1" applyFill="1" applyBorder="1" applyAlignment="1">
      <alignment horizontal="center" vertical="center"/>
    </xf>
    <xf numFmtId="185" fontId="22" fillId="8" borderId="0" xfId="3" applyNumberFormat="1" applyFont="1" applyFill="1" applyAlignment="1">
      <alignment vertical="center"/>
    </xf>
    <xf numFmtId="185" fontId="23" fillId="0" borderId="0" xfId="3" applyNumberFormat="1" applyFont="1" applyFill="1" applyAlignment="1">
      <alignment vertical="center"/>
    </xf>
    <xf numFmtId="185" fontId="23" fillId="0" borderId="0" xfId="0" applyNumberFormat="1" applyFont="1" applyAlignment="1">
      <alignment vertical="center"/>
    </xf>
    <xf numFmtId="185" fontId="20" fillId="13" borderId="4" xfId="3" applyNumberFormat="1" applyFont="1" applyFill="1" applyBorder="1" applyAlignment="1">
      <alignment horizontal="center" vertical="center"/>
    </xf>
    <xf numFmtId="185" fontId="20" fillId="13" borderId="5" xfId="0" applyNumberFormat="1" applyFont="1" applyFill="1" applyBorder="1" applyAlignment="1">
      <alignment vertical="center"/>
    </xf>
    <xf numFmtId="185" fontId="20" fillId="13" borderId="8" xfId="0" applyNumberFormat="1" applyFont="1" applyFill="1" applyBorder="1" applyAlignment="1">
      <alignment horizontal="center" vertical="center"/>
    </xf>
    <xf numFmtId="185" fontId="20" fillId="13" borderId="1" xfId="3" applyNumberFormat="1" applyFont="1" applyFill="1" applyBorder="1" applyAlignment="1">
      <alignment horizontal="center" vertical="center"/>
    </xf>
    <xf numFmtId="38" fontId="20" fillId="13" borderId="59" xfId="2" applyFont="1" applyFill="1" applyBorder="1" applyAlignment="1">
      <alignment vertical="center"/>
    </xf>
    <xf numFmtId="185" fontId="20" fillId="13" borderId="60" xfId="3" applyNumberFormat="1" applyFont="1" applyFill="1" applyBorder="1" applyAlignment="1">
      <alignment horizontal="center" vertical="center"/>
    </xf>
    <xf numFmtId="38" fontId="20" fillId="13" borderId="60" xfId="2" applyFont="1" applyFill="1" applyBorder="1" applyAlignment="1">
      <alignment vertical="center"/>
    </xf>
    <xf numFmtId="185" fontId="20" fillId="0" borderId="5" xfId="0" applyNumberFormat="1" applyFont="1" applyFill="1" applyBorder="1" applyAlignment="1">
      <alignment vertical="center"/>
    </xf>
    <xf numFmtId="185" fontId="20" fillId="13" borderId="5" xfId="0" applyNumberFormat="1" applyFont="1" applyFill="1" applyBorder="1" applyAlignment="1">
      <alignment horizontal="center" vertical="center"/>
    </xf>
    <xf numFmtId="185" fontId="20" fillId="13" borderId="4" xfId="0" applyNumberFormat="1" applyFont="1" applyFill="1" applyBorder="1" applyAlignment="1">
      <alignment horizontal="center" vertical="center"/>
    </xf>
    <xf numFmtId="185" fontId="20" fillId="22" borderId="1" xfId="0" applyNumberFormat="1" applyFont="1" applyFill="1" applyBorder="1" applyAlignment="1">
      <alignment horizontal="center" vertical="center" wrapText="1"/>
    </xf>
    <xf numFmtId="185" fontId="20" fillId="0" borderId="5" xfId="0" applyNumberFormat="1" applyFont="1" applyFill="1" applyBorder="1" applyAlignment="1">
      <alignment horizontal="center" vertical="center"/>
    </xf>
    <xf numFmtId="185" fontId="20" fillId="22" borderId="4" xfId="0" applyNumberFormat="1" applyFont="1" applyFill="1" applyBorder="1" applyAlignment="1">
      <alignment horizontal="center" vertical="center"/>
    </xf>
    <xf numFmtId="185" fontId="20" fillId="0" borderId="1" xfId="0" applyNumberFormat="1" applyFont="1" applyBorder="1" applyAlignment="1">
      <alignment vertical="center" shrinkToFit="1"/>
    </xf>
    <xf numFmtId="185" fontId="20" fillId="0" borderId="1" xfId="2" applyNumberFormat="1" applyFont="1" applyBorder="1" applyAlignment="1">
      <alignment vertical="center" shrinkToFit="1"/>
    </xf>
    <xf numFmtId="185" fontId="20" fillId="0" borderId="0" xfId="2" applyNumberFormat="1" applyFont="1" applyBorder="1" applyAlignment="1">
      <alignment vertical="center"/>
    </xf>
    <xf numFmtId="176" fontId="3" fillId="0" borderId="5" xfId="0" applyNumberFormat="1" applyFont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/>
    </xf>
    <xf numFmtId="176" fontId="4" fillId="0" borderId="39" xfId="0" applyNumberFormat="1" applyFont="1" applyBorder="1" applyAlignment="1" applyProtection="1">
      <alignment horizontal="center" vertical="center"/>
    </xf>
    <xf numFmtId="179" fontId="8" fillId="0" borderId="54" xfId="0" applyNumberFormat="1" applyFont="1" applyBorder="1" applyAlignment="1" applyProtection="1">
      <alignment horizontal="center" vertical="center"/>
    </xf>
    <xf numFmtId="179" fontId="8" fillId="0" borderId="55" xfId="0" applyNumberFormat="1" applyFont="1" applyBorder="1" applyAlignment="1" applyProtection="1">
      <alignment horizontal="center" vertical="center"/>
    </xf>
    <xf numFmtId="179" fontId="8" fillId="0" borderId="11" xfId="0" applyNumberFormat="1" applyFont="1" applyBorder="1" applyAlignment="1" applyProtection="1">
      <alignment horizontal="center" vertical="center"/>
    </xf>
    <xf numFmtId="179" fontId="8" fillId="0" borderId="12" xfId="0" applyNumberFormat="1" applyFont="1" applyBorder="1" applyAlignment="1" applyProtection="1">
      <alignment horizontal="center" vertical="center"/>
    </xf>
    <xf numFmtId="0" fontId="7" fillId="11" borderId="18" xfId="0" applyFont="1" applyFill="1" applyBorder="1" applyAlignment="1">
      <alignment horizontal="center" vertical="center" shrinkToFit="1"/>
    </xf>
    <xf numFmtId="0" fontId="7" fillId="11" borderId="26" xfId="0" applyFont="1" applyFill="1" applyBorder="1" applyAlignment="1">
      <alignment horizontal="center" vertical="center" shrinkToFit="1"/>
    </xf>
    <xf numFmtId="0" fontId="3" fillId="9" borderId="4" xfId="0" applyFont="1" applyFill="1" applyBorder="1" applyAlignment="1" applyProtection="1">
      <alignment horizontal="center" vertical="center"/>
    </xf>
    <xf numFmtId="0" fontId="3" fillId="9" borderId="5" xfId="0" applyFont="1" applyFill="1" applyBorder="1" applyAlignment="1" applyProtection="1">
      <alignment horizontal="center" vertical="center"/>
    </xf>
    <xf numFmtId="179" fontId="8" fillId="0" borderId="57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4" fillId="0" borderId="26" xfId="0" applyNumberFormat="1" applyFont="1" applyBorder="1" applyAlignment="1" applyProtection="1">
      <alignment horizontal="right" vertical="center"/>
    </xf>
    <xf numFmtId="0" fontId="9" fillId="13" borderId="9" xfId="0" applyFont="1" applyFill="1" applyBorder="1" applyAlignment="1" applyProtection="1">
      <alignment horizontal="center" vertical="center" wrapText="1" shrinkToFit="1"/>
    </xf>
    <xf numFmtId="0" fontId="9" fillId="13" borderId="0" xfId="0" applyFont="1" applyFill="1" applyBorder="1" applyAlignment="1" applyProtection="1">
      <alignment horizontal="center" vertical="center" wrapText="1" shrinkToFit="1"/>
    </xf>
    <xf numFmtId="0" fontId="9" fillId="13" borderId="11" xfId="0" applyFont="1" applyFill="1" applyBorder="1" applyAlignment="1" applyProtection="1">
      <alignment horizontal="center" vertical="center" wrapText="1" shrinkToFit="1"/>
    </xf>
    <xf numFmtId="176" fontId="3" fillId="0" borderId="40" xfId="0" applyNumberFormat="1" applyFont="1" applyBorder="1" applyAlignment="1" applyProtection="1">
      <alignment horizontal="right" vertical="center"/>
    </xf>
    <xf numFmtId="176" fontId="3" fillId="0" borderId="5" xfId="0" applyNumberFormat="1" applyFont="1" applyBorder="1" applyAlignment="1" applyProtection="1">
      <alignment horizontal="right" vertical="center"/>
    </xf>
    <xf numFmtId="0" fontId="3" fillId="9" borderId="40" xfId="0" applyFont="1" applyFill="1" applyBorder="1" applyAlignment="1" applyProtection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10" fontId="4" fillId="0" borderId="1" xfId="0" applyNumberFormat="1" applyFont="1" applyBorder="1" applyAlignment="1" applyProtection="1">
      <alignment horizontal="right" vertical="center"/>
    </xf>
    <xf numFmtId="10" fontId="4" fillId="0" borderId="26" xfId="0" applyNumberFormat="1" applyFont="1" applyBorder="1" applyAlignment="1" applyProtection="1">
      <alignment horizontal="right" vertical="center"/>
    </xf>
    <xf numFmtId="0" fontId="7" fillId="11" borderId="18" xfId="0" applyFont="1" applyFill="1" applyBorder="1" applyAlignment="1">
      <alignment horizontal="center" vertical="center" wrapText="1" shrinkToFit="1"/>
    </xf>
    <xf numFmtId="0" fontId="7" fillId="11" borderId="19" xfId="0" applyFont="1" applyFill="1" applyBorder="1" applyAlignment="1" applyProtection="1">
      <alignment horizontal="center" vertical="center" wrapText="1" shrinkToFit="1"/>
    </xf>
    <xf numFmtId="0" fontId="7" fillId="11" borderId="20" xfId="0" applyFont="1" applyFill="1" applyBorder="1" applyAlignment="1" applyProtection="1">
      <alignment horizontal="center" vertical="center" wrapText="1" shrinkToFit="1"/>
    </xf>
    <xf numFmtId="0" fontId="7" fillId="11" borderId="21" xfId="0" applyFont="1" applyFill="1" applyBorder="1" applyAlignment="1" applyProtection="1">
      <alignment horizontal="center" vertical="center" wrapText="1" shrinkToFit="1"/>
    </xf>
    <xf numFmtId="0" fontId="17" fillId="18" borderId="32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0" fontId="17" fillId="18" borderId="33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left" vertical="center" wrapText="1"/>
    </xf>
    <xf numFmtId="176" fontId="3" fillId="0" borderId="40" xfId="0" applyNumberFormat="1" applyFont="1" applyBorder="1" applyAlignment="1" applyProtection="1">
      <alignment horizontal="right" vertical="center" shrinkToFit="1"/>
    </xf>
    <xf numFmtId="176" fontId="3" fillId="0" borderId="5" xfId="0" applyNumberFormat="1" applyFont="1" applyBorder="1" applyAlignment="1" applyProtection="1">
      <alignment horizontal="right" vertical="center" shrinkToFit="1"/>
    </xf>
    <xf numFmtId="0" fontId="9" fillId="11" borderId="18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 applyProtection="1">
      <alignment horizontal="center" vertical="center"/>
    </xf>
    <xf numFmtId="0" fontId="8" fillId="11" borderId="50" xfId="0" applyFont="1" applyFill="1" applyBorder="1" applyAlignment="1" applyProtection="1">
      <alignment horizontal="center" vertical="center"/>
    </xf>
    <xf numFmtId="0" fontId="8" fillId="11" borderId="15" xfId="0" applyFont="1" applyFill="1" applyBorder="1" applyAlignment="1" applyProtection="1">
      <alignment horizontal="center" vertical="center"/>
    </xf>
    <xf numFmtId="0" fontId="8" fillId="11" borderId="48" xfId="0" applyFont="1" applyFill="1" applyBorder="1" applyAlignment="1" applyProtection="1">
      <alignment horizontal="center" vertical="center"/>
    </xf>
    <xf numFmtId="0" fontId="8" fillId="11" borderId="14" xfId="0" applyFont="1" applyFill="1" applyBorder="1" applyAlignment="1" applyProtection="1">
      <alignment horizontal="center" vertical="center"/>
    </xf>
    <xf numFmtId="0" fontId="8" fillId="11" borderId="51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>
      <alignment horizontal="left" vertical="center"/>
    </xf>
    <xf numFmtId="0" fontId="16" fillId="15" borderId="32" xfId="0" applyFont="1" applyFill="1" applyBorder="1" applyAlignment="1">
      <alignment horizontal="center" vertical="center"/>
    </xf>
    <xf numFmtId="0" fontId="16" fillId="15" borderId="4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 applyProtection="1">
      <alignment horizontal="right" vertical="center"/>
    </xf>
    <xf numFmtId="0" fontId="6" fillId="10" borderId="0" xfId="0" applyFont="1" applyFill="1" applyBorder="1" applyAlignment="1" applyProtection="1">
      <alignment horizontal="center" vertical="center"/>
    </xf>
    <xf numFmtId="0" fontId="6" fillId="10" borderId="0" xfId="0" applyFont="1" applyFill="1" applyBorder="1" applyAlignment="1" applyProtection="1">
      <alignment horizontal="center"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182" fontId="8" fillId="8" borderId="32" xfId="0" applyNumberFormat="1" applyFont="1" applyFill="1" applyBorder="1" applyAlignment="1" applyProtection="1">
      <alignment horizontal="right" vertical="center"/>
    </xf>
    <xf numFmtId="182" fontId="8" fillId="8" borderId="33" xfId="0" applyNumberFormat="1" applyFont="1" applyFill="1" applyBorder="1" applyAlignment="1" applyProtection="1">
      <alignment horizontal="right" vertical="center"/>
    </xf>
    <xf numFmtId="176" fontId="3" fillId="0" borderId="37" xfId="0" applyNumberFormat="1" applyFont="1" applyBorder="1" applyAlignment="1" applyProtection="1">
      <alignment horizontal="right" vertical="center"/>
    </xf>
    <xf numFmtId="0" fontId="9" fillId="13" borderId="29" xfId="0" applyFont="1" applyFill="1" applyBorder="1" applyAlignment="1" applyProtection="1">
      <alignment horizontal="center" vertical="center" wrapText="1" shrinkToFit="1"/>
    </xf>
    <xf numFmtId="0" fontId="9" fillId="13" borderId="10" xfId="0" applyFont="1" applyFill="1" applyBorder="1" applyAlignment="1" applyProtection="1">
      <alignment horizontal="center" vertical="center" wrapText="1" shrinkToFit="1"/>
    </xf>
    <xf numFmtId="0" fontId="9" fillId="13" borderId="2" xfId="0" applyFont="1" applyFill="1" applyBorder="1" applyAlignment="1" applyProtection="1">
      <alignment horizontal="center" vertical="center" wrapText="1" shrinkToFit="1"/>
    </xf>
    <xf numFmtId="0" fontId="9" fillId="13" borderId="30" xfId="0" applyFont="1" applyFill="1" applyBorder="1" applyAlignment="1" applyProtection="1">
      <alignment horizontal="center" vertical="center" wrapText="1" shrinkToFit="1"/>
    </xf>
    <xf numFmtId="0" fontId="9" fillId="13" borderId="31" xfId="0" applyFont="1" applyFill="1" applyBorder="1" applyAlignment="1" applyProtection="1">
      <alignment horizontal="center" vertical="center" wrapText="1" shrinkToFit="1"/>
    </xf>
    <xf numFmtId="0" fontId="9" fillId="13" borderId="12" xfId="0" applyFont="1" applyFill="1" applyBorder="1" applyAlignment="1" applyProtection="1">
      <alignment horizontal="center" vertical="center" wrapText="1" shrinkToFit="1"/>
    </xf>
    <xf numFmtId="0" fontId="7" fillId="16" borderId="19" xfId="0" applyFont="1" applyFill="1" applyBorder="1" applyAlignment="1" applyProtection="1">
      <alignment horizontal="center" vertical="center" wrapText="1" shrinkToFit="1"/>
    </xf>
    <xf numFmtId="0" fontId="7" fillId="16" borderId="20" xfId="0" applyFont="1" applyFill="1" applyBorder="1" applyAlignment="1" applyProtection="1">
      <alignment horizontal="center" vertical="center" wrapText="1" shrinkToFit="1"/>
    </xf>
    <xf numFmtId="0" fontId="7" fillId="16" borderId="21" xfId="0" applyFont="1" applyFill="1" applyBorder="1" applyAlignment="1" applyProtection="1">
      <alignment horizontal="center" vertical="center" wrapText="1" shrinkToFit="1"/>
    </xf>
    <xf numFmtId="180" fontId="8" fillId="8" borderId="32" xfId="0" applyNumberFormat="1" applyFont="1" applyFill="1" applyBorder="1" applyAlignment="1" applyProtection="1">
      <alignment horizontal="right" vertical="center"/>
    </xf>
    <xf numFmtId="180" fontId="8" fillId="8" borderId="33" xfId="0" applyNumberFormat="1" applyFont="1" applyFill="1" applyBorder="1" applyAlignment="1" applyProtection="1">
      <alignment horizontal="right" vertical="center"/>
    </xf>
    <xf numFmtId="178" fontId="8" fillId="0" borderId="13" xfId="1" applyNumberFormat="1" applyFont="1" applyBorder="1" applyAlignment="1" applyProtection="1">
      <alignment horizontal="center" vertical="center" wrapText="1"/>
    </xf>
    <xf numFmtId="178" fontId="8" fillId="0" borderId="10" xfId="1" applyNumberFormat="1" applyFont="1" applyBorder="1" applyAlignment="1" applyProtection="1">
      <alignment horizontal="center" vertical="center"/>
    </xf>
    <xf numFmtId="178" fontId="8" fillId="0" borderId="14" xfId="1" applyNumberFormat="1" applyFont="1" applyBorder="1" applyAlignment="1" applyProtection="1">
      <alignment horizontal="center" vertical="center"/>
    </xf>
    <xf numFmtId="178" fontId="8" fillId="0" borderId="30" xfId="1" applyNumberFormat="1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176" fontId="8" fillId="0" borderId="9" xfId="0" applyNumberFormat="1" applyFont="1" applyBorder="1" applyAlignment="1" applyProtection="1">
      <alignment horizontal="center" vertical="center"/>
    </xf>
    <xf numFmtId="0" fontId="8" fillId="17" borderId="0" xfId="0" applyFont="1" applyFill="1" applyAlignment="1" applyProtection="1">
      <alignment horizontal="left" vertical="center"/>
    </xf>
    <xf numFmtId="0" fontId="8" fillId="12" borderId="13" xfId="0" applyFont="1" applyFill="1" applyBorder="1" applyAlignment="1" applyProtection="1">
      <alignment horizontal="center" vertical="center" wrapText="1"/>
    </xf>
    <xf numFmtId="0" fontId="8" fillId="12" borderId="50" xfId="0" applyFont="1" applyFill="1" applyBorder="1" applyAlignment="1" applyProtection="1">
      <alignment horizontal="center" vertical="center" wrapText="1"/>
    </xf>
    <xf numFmtId="0" fontId="8" fillId="12" borderId="15" xfId="0" applyFont="1" applyFill="1" applyBorder="1" applyAlignment="1" applyProtection="1">
      <alignment horizontal="center" vertical="center" wrapText="1"/>
    </xf>
    <xf numFmtId="0" fontId="8" fillId="12" borderId="48" xfId="0" applyFont="1" applyFill="1" applyBorder="1" applyAlignment="1" applyProtection="1">
      <alignment horizontal="center" vertical="center" wrapText="1"/>
    </xf>
    <xf numFmtId="0" fontId="8" fillId="12" borderId="14" xfId="0" applyFont="1" applyFill="1" applyBorder="1" applyAlignment="1" applyProtection="1">
      <alignment horizontal="center" vertical="center" wrapText="1"/>
    </xf>
    <xf numFmtId="0" fontId="8" fillId="12" borderId="51" xfId="0" applyFont="1" applyFill="1" applyBorder="1" applyAlignment="1" applyProtection="1">
      <alignment horizontal="center" vertical="center" wrapText="1"/>
    </xf>
    <xf numFmtId="0" fontId="8" fillId="16" borderId="17" xfId="0" applyFont="1" applyFill="1" applyBorder="1" applyAlignment="1" applyProtection="1">
      <alignment horizontal="center" vertical="center" wrapText="1"/>
    </xf>
    <xf numFmtId="0" fontId="8" fillId="16" borderId="22" xfId="0" applyFont="1" applyFill="1" applyBorder="1" applyAlignment="1" applyProtection="1">
      <alignment horizontal="center" vertical="center"/>
    </xf>
    <xf numFmtId="0" fontId="8" fillId="16" borderId="23" xfId="0" applyFont="1" applyFill="1" applyBorder="1" applyAlignment="1" applyProtection="1">
      <alignment horizontal="center" vertical="center"/>
    </xf>
    <xf numFmtId="0" fontId="8" fillId="16" borderId="24" xfId="0" applyFont="1" applyFill="1" applyBorder="1" applyAlignment="1" applyProtection="1">
      <alignment horizontal="center" vertical="center"/>
    </xf>
    <xf numFmtId="0" fontId="7" fillId="17" borderId="0" xfId="0" applyFont="1" applyFill="1" applyBorder="1" applyAlignment="1" applyProtection="1">
      <alignment horizontal="center" vertical="center"/>
    </xf>
    <xf numFmtId="0" fontId="7" fillId="11" borderId="52" xfId="0" applyFont="1" applyFill="1" applyBorder="1" applyAlignment="1" applyProtection="1">
      <alignment horizontal="center" vertical="center" wrapText="1" shrinkToFit="1"/>
    </xf>
    <xf numFmtId="0" fontId="8" fillId="9" borderId="0" xfId="0" applyFont="1" applyFill="1" applyAlignment="1">
      <alignment horizontal="center" vertical="center" wrapText="1"/>
    </xf>
    <xf numFmtId="0" fontId="7" fillId="11" borderId="49" xfId="0" applyFont="1" applyFill="1" applyBorder="1" applyAlignment="1">
      <alignment horizontal="center" vertical="center"/>
    </xf>
    <xf numFmtId="0" fontId="7" fillId="11" borderId="46" xfId="0" applyFont="1" applyFill="1" applyBorder="1" applyAlignment="1">
      <alignment horizontal="center" vertical="center"/>
    </xf>
    <xf numFmtId="0" fontId="8" fillId="11" borderId="21" xfId="0" applyFont="1" applyFill="1" applyBorder="1" applyAlignment="1" applyProtection="1">
      <alignment horizontal="center" vertical="center" wrapText="1"/>
    </xf>
    <xf numFmtId="0" fontId="8" fillId="11" borderId="22" xfId="0" applyFont="1" applyFill="1" applyBorder="1" applyAlignment="1" applyProtection="1">
      <alignment horizontal="center" vertical="center"/>
    </xf>
    <xf numFmtId="0" fontId="8" fillId="11" borderId="8" xfId="0" applyFont="1" applyFill="1" applyBorder="1" applyAlignment="1" applyProtection="1">
      <alignment horizontal="center" vertical="center"/>
    </xf>
    <xf numFmtId="0" fontId="8" fillId="11" borderId="24" xfId="0" applyFont="1" applyFill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37" xfId="0" applyNumberFormat="1" applyFont="1" applyBorder="1" applyAlignment="1" applyProtection="1">
      <alignment horizontal="right" vertical="center"/>
    </xf>
    <xf numFmtId="10" fontId="4" fillId="0" borderId="4" xfId="0" applyNumberFormat="1" applyFont="1" applyBorder="1" applyAlignment="1" applyProtection="1">
      <alignment horizontal="right" vertical="center"/>
    </xf>
    <xf numFmtId="10" fontId="4" fillId="0" borderId="37" xfId="0" applyNumberFormat="1" applyFont="1" applyBorder="1" applyAlignment="1" applyProtection="1">
      <alignment horizontal="right" vertical="center"/>
    </xf>
    <xf numFmtId="176" fontId="4" fillId="0" borderId="16" xfId="0" applyNumberFormat="1" applyFont="1" applyBorder="1" applyAlignment="1" applyProtection="1">
      <alignment horizontal="center" vertical="center"/>
    </xf>
    <xf numFmtId="176" fontId="4" fillId="0" borderId="58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right" vertical="center" shrinkToFit="1"/>
    </xf>
    <xf numFmtId="176" fontId="3" fillId="0" borderId="37" xfId="0" applyNumberFormat="1" applyFont="1" applyBorder="1" applyAlignment="1" applyProtection="1">
      <alignment horizontal="right" vertical="center" shrinkToFit="1"/>
    </xf>
    <xf numFmtId="183" fontId="3" fillId="4" borderId="4" xfId="0" applyNumberFormat="1" applyFont="1" applyFill="1" applyBorder="1" applyAlignment="1" applyProtection="1">
      <alignment horizontal="center" vertical="center"/>
      <protection locked="0"/>
    </xf>
    <xf numFmtId="183" fontId="3" fillId="4" borderId="37" xfId="0" applyNumberFormat="1" applyFont="1" applyFill="1" applyBorder="1" applyAlignment="1" applyProtection="1">
      <alignment horizontal="center" vertical="center"/>
      <protection locked="0"/>
    </xf>
    <xf numFmtId="0" fontId="3" fillId="4" borderId="38" xfId="0" applyFont="1" applyFill="1" applyBorder="1" applyAlignment="1" applyProtection="1">
      <alignment horizontal="center" vertical="center"/>
      <protection locked="0"/>
    </xf>
    <xf numFmtId="0" fontId="3" fillId="9" borderId="37" xfId="0" applyFont="1" applyFill="1" applyBorder="1" applyAlignment="1" applyProtection="1">
      <alignment horizontal="center" vertical="center"/>
    </xf>
    <xf numFmtId="183" fontId="3" fillId="4" borderId="40" xfId="0" applyNumberFormat="1" applyFont="1" applyFill="1" applyBorder="1" applyAlignment="1" applyProtection="1">
      <alignment horizontal="center" vertical="center"/>
      <protection locked="0"/>
    </xf>
    <xf numFmtId="183" fontId="3" fillId="4" borderId="5" xfId="0" applyNumberFormat="1" applyFont="1" applyFill="1" applyBorder="1" applyAlignment="1" applyProtection="1">
      <alignment horizontal="center" vertical="center"/>
      <protection locked="0"/>
    </xf>
    <xf numFmtId="179" fontId="10" fillId="0" borderId="9" xfId="0" applyNumberFormat="1" applyFont="1" applyBorder="1" applyAlignment="1" applyProtection="1">
      <alignment horizontal="center" vertical="center"/>
    </xf>
    <xf numFmtId="179" fontId="10" fillId="0" borderId="10" xfId="0" applyNumberFormat="1" applyFont="1" applyBorder="1" applyAlignment="1" applyProtection="1">
      <alignment horizontal="center" vertical="center"/>
    </xf>
    <xf numFmtId="179" fontId="10" fillId="0" borderId="0" xfId="0" applyNumberFormat="1" applyFont="1" applyBorder="1" applyAlignment="1" applyProtection="1">
      <alignment horizontal="center" vertical="center"/>
    </xf>
    <xf numFmtId="179" fontId="10" fillId="0" borderId="12" xfId="0" applyNumberFormat="1" applyFont="1" applyBorder="1" applyAlignment="1" applyProtection="1">
      <alignment horizontal="center" vertical="center"/>
    </xf>
    <xf numFmtId="0" fontId="8" fillId="17" borderId="0" xfId="0" applyFont="1" applyFill="1" applyBorder="1" applyAlignment="1" applyProtection="1">
      <alignment horizontal="center" vertical="center"/>
    </xf>
    <xf numFmtId="0" fontId="8" fillId="17" borderId="48" xfId="0" applyFont="1" applyFill="1" applyBorder="1" applyAlignment="1" applyProtection="1">
      <alignment horizontal="center" vertical="center"/>
    </xf>
    <xf numFmtId="180" fontId="10" fillId="0" borderId="15" xfId="0" applyNumberFormat="1" applyFont="1" applyBorder="1" applyAlignment="1" applyProtection="1">
      <alignment horizontal="center" vertical="center"/>
    </xf>
    <xf numFmtId="180" fontId="10" fillId="0" borderId="30" xfId="0" applyNumberFormat="1" applyFont="1" applyBorder="1" applyAlignment="1" applyProtection="1">
      <alignment horizontal="center" vertical="center"/>
    </xf>
    <xf numFmtId="180" fontId="10" fillId="0" borderId="14" xfId="0" applyNumberFormat="1" applyFont="1" applyBorder="1" applyAlignment="1" applyProtection="1">
      <alignment horizontal="center" vertical="center"/>
    </xf>
    <xf numFmtId="180" fontId="10" fillId="0" borderId="12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7" fillId="17" borderId="48" xfId="0" applyFont="1" applyFill="1" applyBorder="1" applyAlignment="1" applyProtection="1">
      <alignment horizontal="center" vertical="center"/>
    </xf>
    <xf numFmtId="0" fontId="8" fillId="12" borderId="17" xfId="0" applyFont="1" applyFill="1" applyBorder="1" applyAlignment="1" applyProtection="1">
      <alignment horizontal="center" vertical="center" wrapText="1"/>
    </xf>
    <xf numFmtId="0" fontId="8" fillId="12" borderId="22" xfId="0" applyFont="1" applyFill="1" applyBorder="1" applyAlignment="1" applyProtection="1">
      <alignment horizontal="center" vertical="center"/>
    </xf>
    <xf numFmtId="0" fontId="8" fillId="12" borderId="23" xfId="0" applyFont="1" applyFill="1" applyBorder="1" applyAlignment="1" applyProtection="1">
      <alignment horizontal="center" vertical="center"/>
    </xf>
    <xf numFmtId="0" fontId="8" fillId="12" borderId="24" xfId="0" applyFont="1" applyFill="1" applyBorder="1" applyAlignment="1" applyProtection="1">
      <alignment horizontal="center" vertical="center"/>
    </xf>
    <xf numFmtId="179" fontId="8" fillId="0" borderId="28" xfId="0" applyNumberFormat="1" applyFont="1" applyBorder="1" applyAlignment="1" applyProtection="1">
      <alignment horizontal="center" vertical="center"/>
    </xf>
    <xf numFmtId="179" fontId="8" fillId="0" borderId="27" xfId="0" applyNumberFormat="1" applyFont="1" applyBorder="1" applyAlignment="1" applyProtection="1">
      <alignment horizontal="center" vertical="center"/>
    </xf>
    <xf numFmtId="0" fontId="9" fillId="8" borderId="6" xfId="0" applyFont="1" applyFill="1" applyBorder="1" applyAlignment="1" applyProtection="1">
      <alignment horizontal="center" vertical="center" shrinkToFit="1"/>
    </xf>
    <xf numFmtId="0" fontId="9" fillId="8" borderId="8" xfId="0" applyFont="1" applyFill="1" applyBorder="1" applyAlignment="1" applyProtection="1">
      <alignment horizontal="center" vertical="center" shrinkToFit="1"/>
    </xf>
    <xf numFmtId="0" fontId="7" fillId="12" borderId="19" xfId="0" applyFont="1" applyFill="1" applyBorder="1" applyAlignment="1" applyProtection="1">
      <alignment horizontal="center" vertical="center" wrapText="1" shrinkToFit="1"/>
    </xf>
    <xf numFmtId="0" fontId="7" fillId="12" borderId="20" xfId="0" applyFont="1" applyFill="1" applyBorder="1" applyAlignment="1" applyProtection="1">
      <alignment horizontal="center" vertical="center" wrapText="1" shrinkToFit="1"/>
    </xf>
    <xf numFmtId="0" fontId="7" fillId="12" borderId="21" xfId="0" applyFont="1" applyFill="1" applyBorder="1" applyAlignment="1" applyProtection="1">
      <alignment horizontal="center" vertical="center" wrapText="1" shrinkToFit="1"/>
    </xf>
    <xf numFmtId="0" fontId="7" fillId="19" borderId="19" xfId="0" applyFont="1" applyFill="1" applyBorder="1" applyAlignment="1" applyProtection="1">
      <alignment horizontal="center" vertical="center" wrapText="1" shrinkToFit="1"/>
    </xf>
    <xf numFmtId="0" fontId="7" fillId="19" borderId="20" xfId="0" applyFont="1" applyFill="1" applyBorder="1" applyAlignment="1" applyProtection="1">
      <alignment horizontal="center" vertical="center" wrapText="1" shrinkToFit="1"/>
    </xf>
    <xf numFmtId="0" fontId="7" fillId="19" borderId="21" xfId="0" applyFont="1" applyFill="1" applyBorder="1" applyAlignment="1" applyProtection="1">
      <alignment horizontal="center" vertical="center" wrapText="1" shrinkToFit="1"/>
    </xf>
    <xf numFmtId="0" fontId="8" fillId="19" borderId="17" xfId="0" applyFont="1" applyFill="1" applyBorder="1" applyAlignment="1" applyProtection="1">
      <alignment horizontal="center" vertical="center" wrapText="1"/>
    </xf>
    <xf numFmtId="0" fontId="8" fillId="19" borderId="22" xfId="0" applyFont="1" applyFill="1" applyBorder="1" applyAlignment="1" applyProtection="1">
      <alignment horizontal="center" vertical="center"/>
    </xf>
    <xf numFmtId="0" fontId="8" fillId="19" borderId="23" xfId="0" applyFont="1" applyFill="1" applyBorder="1" applyAlignment="1" applyProtection="1">
      <alignment horizontal="center" vertical="center"/>
    </xf>
    <xf numFmtId="0" fontId="8" fillId="19" borderId="24" xfId="0" applyFont="1" applyFill="1" applyBorder="1" applyAlignment="1" applyProtection="1">
      <alignment horizontal="center" vertical="center"/>
    </xf>
    <xf numFmtId="176" fontId="4" fillId="0" borderId="53" xfId="0" applyNumberFormat="1" applyFont="1" applyBorder="1" applyAlignment="1" applyProtection="1">
      <alignment horizontal="right" vertical="center"/>
    </xf>
    <xf numFmtId="176" fontId="4" fillId="0" borderId="56" xfId="0" applyNumberFormat="1" applyFont="1" applyBorder="1" applyAlignment="1" applyProtection="1">
      <alignment horizontal="right" vertical="center"/>
    </xf>
    <xf numFmtId="10" fontId="4" fillId="0" borderId="53" xfId="0" applyNumberFormat="1" applyFont="1" applyBorder="1" applyAlignment="1" applyProtection="1">
      <alignment horizontal="right" vertical="center"/>
    </xf>
    <xf numFmtId="10" fontId="4" fillId="0" borderId="56" xfId="0" applyNumberFormat="1" applyFont="1" applyBorder="1" applyAlignment="1" applyProtection="1">
      <alignment horizontal="right" vertical="center"/>
    </xf>
    <xf numFmtId="0" fontId="7" fillId="17" borderId="0" xfId="0" applyFont="1" applyFill="1" applyBorder="1" applyAlignment="1" applyProtection="1">
      <alignment horizontal="center" vertical="center" shrinkToFit="1"/>
    </xf>
    <xf numFmtId="0" fontId="7" fillId="17" borderId="48" xfId="0" applyFont="1" applyFill="1" applyBorder="1" applyAlignment="1" applyProtection="1">
      <alignment horizontal="center" vertical="center" shrinkToFit="1"/>
    </xf>
    <xf numFmtId="179" fontId="4" fillId="0" borderId="35" xfId="0" applyNumberFormat="1" applyFont="1" applyBorder="1" applyAlignment="1" applyProtection="1">
      <alignment horizontal="center" vertical="center"/>
    </xf>
    <xf numFmtId="179" fontId="4" fillId="0" borderId="38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8" fillId="16" borderId="13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 wrapText="1"/>
    </xf>
    <xf numFmtId="0" fontId="8" fillId="16" borderId="15" xfId="0" applyFont="1" applyFill="1" applyBorder="1" applyAlignment="1" applyProtection="1">
      <alignment horizontal="center" vertical="center" wrapText="1"/>
    </xf>
    <xf numFmtId="0" fontId="8" fillId="16" borderId="0" xfId="0" applyFont="1" applyFill="1" applyBorder="1" applyAlignment="1" applyProtection="1">
      <alignment horizontal="center" vertical="center" wrapText="1"/>
    </xf>
    <xf numFmtId="0" fontId="8" fillId="16" borderId="1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17" borderId="0" xfId="0" applyFont="1" applyFill="1" applyAlignment="1" applyProtection="1">
      <alignment horizontal="center" vertical="center"/>
    </xf>
    <xf numFmtId="0" fontId="8" fillId="19" borderId="13" xfId="0" applyFont="1" applyFill="1" applyBorder="1" applyAlignment="1" applyProtection="1">
      <alignment horizontal="center" vertical="center" wrapText="1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5" xfId="0" applyFont="1" applyFill="1" applyBorder="1" applyAlignment="1" applyProtection="1">
      <alignment horizontal="center" vertical="center" wrapText="1"/>
    </xf>
    <xf numFmtId="0" fontId="8" fillId="19" borderId="0" xfId="0" applyFont="1" applyFill="1" applyBorder="1" applyAlignment="1" applyProtection="1">
      <alignment horizontal="center" vertical="center" wrapText="1"/>
    </xf>
    <xf numFmtId="0" fontId="8" fillId="19" borderId="14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185" fontId="20" fillId="5" borderId="7" xfId="0" applyNumberFormat="1" applyFont="1" applyFill="1" applyBorder="1" applyAlignment="1">
      <alignment horizontal="center" vertical="center"/>
    </xf>
    <xf numFmtId="185" fontId="20" fillId="5" borderId="8" xfId="0" applyNumberFormat="1" applyFont="1" applyFill="1" applyBorder="1" applyAlignment="1">
      <alignment horizontal="center" vertical="center"/>
    </xf>
    <xf numFmtId="185" fontId="20" fillId="5" borderId="6" xfId="0" applyNumberFormat="1" applyFont="1" applyFill="1" applyBorder="1" applyAlignment="1">
      <alignment horizontal="center" vertical="center"/>
    </xf>
    <xf numFmtId="185" fontId="20" fillId="0" borderId="7" xfId="0" applyNumberFormat="1" applyFont="1" applyBorder="1" applyAlignment="1">
      <alignment horizontal="center" vertical="center"/>
    </xf>
    <xf numFmtId="185" fontId="20" fillId="5" borderId="1" xfId="0" applyNumberFormat="1" applyFont="1" applyFill="1" applyBorder="1" applyAlignment="1">
      <alignment horizontal="center" vertical="center"/>
    </xf>
    <xf numFmtId="185" fontId="20" fillId="0" borderId="1" xfId="0" applyNumberFormat="1" applyFont="1" applyBorder="1" applyAlignment="1">
      <alignment horizontal="center" vertical="center"/>
    </xf>
    <xf numFmtId="185" fontId="20" fillId="19" borderId="1" xfId="0" applyNumberFormat="1" applyFont="1" applyFill="1" applyBorder="1" applyAlignment="1">
      <alignment horizontal="center" vertical="center"/>
    </xf>
    <xf numFmtId="185" fontId="20" fillId="13" borderId="7" xfId="0" applyNumberFormat="1" applyFont="1" applyFill="1" applyBorder="1" applyAlignment="1">
      <alignment horizontal="center" vertical="center"/>
    </xf>
    <xf numFmtId="185" fontId="20" fillId="13" borderId="8" xfId="0" applyNumberFormat="1" applyFont="1" applyFill="1" applyBorder="1" applyAlignment="1">
      <alignment horizontal="center" vertical="center"/>
    </xf>
    <xf numFmtId="185" fontId="20" fillId="13" borderId="6" xfId="0" applyNumberFormat="1" applyFont="1" applyFill="1" applyBorder="1" applyAlignment="1">
      <alignment horizontal="center" vertical="center"/>
    </xf>
    <xf numFmtId="185" fontId="20" fillId="13" borderId="1" xfId="0" applyNumberFormat="1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所得表前" xfId="3" xr:uid="{00000000-0005-0000-0000-000003000000}"/>
  </cellStyles>
  <dxfs count="0"/>
  <tableStyles count="0" defaultTableStyle="TableStyleMedium2" defaultPivotStyle="PivotStyleLight16"/>
  <colors>
    <mruColors>
      <color rgb="FFCCFFCC"/>
      <color rgb="FFFFFF00"/>
      <color rgb="FF99FFCC"/>
      <color rgb="FFFF99FF"/>
      <color rgb="FFFF99CC"/>
      <color rgb="FFFFCCFF"/>
      <color rgb="FFCCFFFF"/>
      <color rgb="FFFFFFCC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312964</xdr:colOff>
      <xdr:row>53</xdr:row>
      <xdr:rowOff>176892</xdr:rowOff>
    </xdr:from>
    <xdr:to>
      <xdr:col>8</xdr:col>
      <xdr:colOff>1061357</xdr:colOff>
      <xdr:row>55</xdr:row>
      <xdr:rowOff>367393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354785" y="17185821"/>
          <a:ext cx="748393" cy="1034143"/>
        </a:xfrm>
        <a:prstGeom prst="rightArrow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552450</xdr:colOff>
          <xdr:row>6</xdr:row>
          <xdr:rowOff>28575</xdr:rowOff>
        </xdr:from>
        <xdr:to>
          <xdr:col>13</xdr:col>
          <xdr:colOff>219075</xdr:colOff>
          <xdr:row>8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62</xdr:row>
          <xdr:rowOff>0</xdr:rowOff>
        </xdr:from>
        <xdr:to>
          <xdr:col>13</xdr:col>
          <xdr:colOff>571500</xdr:colOff>
          <xdr:row>64</xdr:row>
          <xdr:rowOff>66675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700521</xdr:colOff>
      <xdr:row>61</xdr:row>
      <xdr:rowOff>257174</xdr:rowOff>
    </xdr:from>
    <xdr:to>
      <xdr:col>14</xdr:col>
      <xdr:colOff>238125</xdr:colOff>
      <xdr:row>64</xdr:row>
      <xdr:rowOff>114299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3906823-277F-6732-6BDC-6720CBF0EAB9}"/>
            </a:ext>
          </a:extLst>
        </xdr:cNvPr>
        <xdr:cNvSpPr/>
      </xdr:nvSpPr>
      <xdr:spPr bwMode="auto">
        <a:xfrm>
          <a:off x="12730596" y="21907499"/>
          <a:ext cx="2680854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800"/>
            <a:t>★お問い合わせ先</a:t>
          </a:r>
          <a:endParaRPr kumimoji="1" lang="en-US" altLang="ja-JP" sz="1800"/>
        </a:p>
        <a:p>
          <a:pPr algn="l"/>
          <a:r>
            <a:rPr kumimoji="1" lang="ja-JP" altLang="en-US" sz="1800"/>
            <a:t>保険税係：</a:t>
          </a:r>
          <a:r>
            <a:rPr kumimoji="1" lang="en-US" altLang="ja-JP" sz="1800"/>
            <a:t>047-712-6280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rgb="FFFFFF00"/>
  </sheetPr>
  <dimension ref="A1:AA72"/>
  <sheetViews>
    <sheetView tabSelected="1" view="pageBreakPreview" zoomScale="70" zoomScaleNormal="70" zoomScaleSheetLayoutView="70" zoomScalePageLayoutView="40" workbookViewId="0">
      <selection activeCell="A6" sqref="A6"/>
    </sheetView>
  </sheetViews>
  <sheetFormatPr defaultRowHeight="18.75" x14ac:dyDescent="0.4"/>
  <cols>
    <col min="1" max="2" width="7.625" style="1" customWidth="1"/>
    <col min="3" max="3" width="11.625" style="1" customWidth="1"/>
    <col min="4" max="10" width="15.625" style="1" customWidth="1"/>
    <col min="11" max="11" width="21.625" style="1" customWidth="1"/>
    <col min="12" max="14" width="13.75" style="1" customWidth="1"/>
    <col min="15" max="15" width="8.125" style="1" customWidth="1"/>
    <col min="16" max="16" width="11.875" style="2" bestFit="1" customWidth="1"/>
    <col min="17" max="17" width="8.5" style="133" bestFit="1" customWidth="1"/>
    <col min="18" max="24" width="12.75" style="128" customWidth="1"/>
    <col min="25" max="25" width="12.75" style="2" customWidth="1"/>
    <col min="26" max="26" width="9" style="2"/>
    <col min="27" max="16384" width="9" style="1"/>
  </cols>
  <sheetData>
    <row r="1" spans="1:26" ht="9" customHeight="1" thickBot="1" x14ac:dyDescent="0.45">
      <c r="A1" s="48"/>
      <c r="B1" s="5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37"/>
      <c r="O1" s="37"/>
    </row>
    <row r="2" spans="1:26" ht="36" thickBot="1" x14ac:dyDescent="0.45">
      <c r="A2" s="48"/>
      <c r="B2" s="297" t="s">
        <v>65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  <c r="N2" s="37"/>
      <c r="O2" s="37"/>
      <c r="R2" s="141">
        <v>46113</v>
      </c>
      <c r="S2" s="140"/>
      <c r="T2" s="140" t="s">
        <v>92</v>
      </c>
    </row>
    <row r="3" spans="1:26" ht="9" customHeight="1" x14ac:dyDescent="0.4">
      <c r="A3" s="48"/>
      <c r="B3" s="60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7"/>
      <c r="O3" s="37"/>
      <c r="R3" s="140"/>
      <c r="S3" s="140"/>
      <c r="T3" s="140"/>
    </row>
    <row r="4" spans="1:26" s="3" customFormat="1" ht="25.5" x14ac:dyDescent="0.5">
      <c r="A4" s="100" t="s">
        <v>25</v>
      </c>
      <c r="B4" s="252">
        <v>8</v>
      </c>
      <c r="C4" s="296" t="s">
        <v>66</v>
      </c>
      <c r="D4" s="296"/>
      <c r="E4" s="296"/>
      <c r="F4" s="101" t="s">
        <v>99</v>
      </c>
      <c r="G4" s="27"/>
      <c r="H4" s="26"/>
      <c r="I4" s="26"/>
      <c r="J4" s="19"/>
      <c r="K4" s="303" t="s">
        <v>15</v>
      </c>
      <c r="L4" s="304"/>
      <c r="M4" s="304"/>
      <c r="N4" s="28"/>
      <c r="O4" s="28"/>
      <c r="P4" s="4"/>
      <c r="Q4" s="134"/>
      <c r="R4" s="140" t="str">
        <f>IF(T4="","",DATEDIF(T4,R2,"Y"))</f>
        <v/>
      </c>
      <c r="S4" s="140"/>
      <c r="T4" s="142"/>
      <c r="U4" s="129"/>
      <c r="V4" s="129"/>
      <c r="W4" s="129"/>
      <c r="X4" s="129"/>
      <c r="Y4" s="4"/>
      <c r="Z4" s="4"/>
    </row>
    <row r="5" spans="1:26" s="3" customFormat="1" ht="13.5" customHeight="1" x14ac:dyDescent="0.5">
      <c r="A5" s="26"/>
      <c r="B5" s="26"/>
      <c r="C5" s="26"/>
      <c r="D5" s="26"/>
      <c r="E5" s="28"/>
      <c r="F5" s="28"/>
      <c r="G5" s="28"/>
      <c r="H5" s="28"/>
      <c r="I5" s="26"/>
      <c r="J5" s="26"/>
      <c r="K5" s="26"/>
      <c r="L5" s="26"/>
      <c r="M5" s="26"/>
      <c r="N5" s="28"/>
      <c r="O5" s="36"/>
      <c r="Q5" s="135"/>
      <c r="R5" s="129"/>
      <c r="S5" s="129"/>
      <c r="T5" s="129"/>
      <c r="U5" s="129"/>
      <c r="V5" s="129"/>
      <c r="W5" s="129"/>
      <c r="X5" s="129"/>
      <c r="Y5" s="4"/>
      <c r="Z5" s="4"/>
    </row>
    <row r="6" spans="1:26" s="6" customFormat="1" ht="24" x14ac:dyDescent="0.5">
      <c r="A6" s="51">
        <v>1</v>
      </c>
      <c r="B6" s="300" t="s">
        <v>67</v>
      </c>
      <c r="C6" s="301"/>
      <c r="D6" s="302"/>
      <c r="E6" s="52"/>
      <c r="F6" s="52"/>
      <c r="G6" s="52"/>
      <c r="H6" s="52"/>
      <c r="I6" s="52"/>
      <c r="J6" s="26"/>
      <c r="K6" s="27"/>
      <c r="L6" s="29"/>
      <c r="M6" s="30"/>
      <c r="N6" s="31"/>
      <c r="O6" s="31"/>
      <c r="Q6" s="7"/>
      <c r="R6" s="127"/>
      <c r="S6" s="127"/>
      <c r="T6" s="127"/>
      <c r="U6" s="127"/>
      <c r="V6" s="127"/>
      <c r="W6" s="127"/>
      <c r="X6" s="127"/>
    </row>
    <row r="7" spans="1:26" s="6" customFormat="1" ht="24" x14ac:dyDescent="0.15">
      <c r="A7" s="50"/>
      <c r="B7" s="284" t="s">
        <v>81</v>
      </c>
      <c r="C7" s="284"/>
      <c r="D7" s="284"/>
      <c r="E7" s="284"/>
      <c r="F7" s="284"/>
      <c r="G7" s="284"/>
      <c r="H7" s="284"/>
      <c r="I7" s="284"/>
      <c r="J7" s="284"/>
      <c r="K7" s="284"/>
      <c r="L7" s="29"/>
      <c r="M7" s="30"/>
      <c r="N7" s="31"/>
      <c r="O7" s="31"/>
      <c r="Q7" s="7"/>
      <c r="R7" s="127"/>
      <c r="S7" s="127"/>
      <c r="T7" s="127"/>
      <c r="U7" s="127"/>
      <c r="V7" s="127"/>
      <c r="W7" s="127"/>
      <c r="X7" s="127"/>
    </row>
    <row r="8" spans="1:26" s="5" customFormat="1" ht="24" x14ac:dyDescent="0.5">
      <c r="A8" s="26"/>
      <c r="B8" s="26"/>
      <c r="C8" s="26"/>
      <c r="D8" s="32" t="s">
        <v>22</v>
      </c>
      <c r="E8" s="19">
        <v>12</v>
      </c>
      <c r="F8" s="33" t="s">
        <v>23</v>
      </c>
      <c r="G8" s="19">
        <v>7</v>
      </c>
      <c r="H8" s="20" t="s">
        <v>20</v>
      </c>
      <c r="I8" s="21">
        <f>COUNT(C16:C23)</f>
        <v>0</v>
      </c>
      <c r="J8" s="18" t="s">
        <v>21</v>
      </c>
      <c r="K8" s="21">
        <f>COUNT(L16:L23)</f>
        <v>0</v>
      </c>
      <c r="L8" s="26"/>
      <c r="M8" s="26"/>
      <c r="N8" s="36"/>
      <c r="O8" s="36"/>
      <c r="P8" s="6"/>
      <c r="Q8" s="7"/>
      <c r="R8" s="127"/>
      <c r="S8" s="127"/>
      <c r="T8" s="127"/>
      <c r="U8" s="127"/>
      <c r="V8" s="127"/>
      <c r="W8" s="127"/>
      <c r="X8" s="127"/>
      <c r="Y8" s="6"/>
      <c r="Z8" s="6"/>
    </row>
    <row r="9" spans="1:26" s="5" customFormat="1" ht="12" customHeight="1" x14ac:dyDescent="0.5">
      <c r="A9" s="26"/>
      <c r="B9" s="26"/>
      <c r="C9" s="26"/>
      <c r="D9" s="27"/>
      <c r="E9" s="26"/>
      <c r="F9" s="27"/>
      <c r="G9" s="27"/>
      <c r="H9" s="26"/>
      <c r="I9" s="26"/>
      <c r="J9" s="26"/>
      <c r="K9" s="27"/>
      <c r="L9" s="26"/>
      <c r="M9" s="26"/>
      <c r="N9" s="36"/>
      <c r="O9" s="36"/>
      <c r="P9" s="6"/>
      <c r="Q9" s="7"/>
      <c r="R9" s="127"/>
      <c r="S9" s="127"/>
      <c r="T9" s="127"/>
      <c r="U9" s="127"/>
      <c r="V9" s="127"/>
      <c r="W9" s="127"/>
      <c r="X9" s="127"/>
      <c r="Y9" s="6"/>
      <c r="Z9" s="6"/>
    </row>
    <row r="10" spans="1:26" s="3" customFormat="1" ht="24" x14ac:dyDescent="0.5">
      <c r="A10" s="51">
        <v>2</v>
      </c>
      <c r="B10" s="300" t="s">
        <v>68</v>
      </c>
      <c r="C10" s="301"/>
      <c r="D10" s="301"/>
      <c r="E10" s="302"/>
      <c r="F10" s="34"/>
      <c r="G10" s="35"/>
      <c r="H10" s="27"/>
      <c r="I10" s="26"/>
      <c r="J10" s="26"/>
      <c r="K10" s="27"/>
      <c r="L10" s="26"/>
      <c r="M10" s="26"/>
      <c r="N10" s="28"/>
      <c r="O10" s="28"/>
      <c r="Q10" s="135"/>
      <c r="R10" s="129"/>
      <c r="S10" s="129"/>
      <c r="T10" s="129"/>
      <c r="U10" s="129"/>
      <c r="V10" s="129"/>
      <c r="W10" s="129"/>
      <c r="X10" s="129"/>
      <c r="Y10" s="4"/>
      <c r="Z10" s="4"/>
    </row>
    <row r="11" spans="1:26" s="54" customFormat="1" ht="87" customHeight="1" x14ac:dyDescent="0.4">
      <c r="A11" s="53"/>
      <c r="B11" s="284" t="s">
        <v>98</v>
      </c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90"/>
      <c r="Q11" s="136"/>
      <c r="R11" s="130"/>
      <c r="S11" s="130"/>
      <c r="T11" s="130"/>
      <c r="U11" s="130"/>
      <c r="V11" s="130"/>
      <c r="W11" s="130"/>
      <c r="X11" s="130"/>
      <c r="Y11" s="55"/>
      <c r="Z11" s="55"/>
    </row>
    <row r="12" spans="1:26" s="54" customFormat="1" ht="87" customHeight="1" x14ac:dyDescent="0.4">
      <c r="A12" s="53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90"/>
      <c r="Q12" s="136"/>
      <c r="R12" s="130"/>
      <c r="S12" s="130"/>
      <c r="T12" s="130"/>
      <c r="U12" s="130"/>
      <c r="V12" s="130"/>
      <c r="W12" s="130"/>
      <c r="X12" s="130"/>
      <c r="Y12" s="55"/>
      <c r="Z12" s="55"/>
    </row>
    <row r="13" spans="1:26" s="54" customFormat="1" ht="87" customHeight="1" thickBot="1" x14ac:dyDescent="0.45">
      <c r="A13" s="53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90"/>
    </row>
    <row r="14" spans="1:26" s="5" customFormat="1" ht="19.5" x14ac:dyDescent="0.35">
      <c r="A14" s="305" t="s">
        <v>32</v>
      </c>
      <c r="B14" s="306"/>
      <c r="C14" s="287" t="s">
        <v>69</v>
      </c>
      <c r="D14" s="277" t="s">
        <v>70</v>
      </c>
      <c r="E14" s="273" t="s">
        <v>71</v>
      </c>
      <c r="F14" s="273"/>
      <c r="G14" s="273" t="s">
        <v>82</v>
      </c>
      <c r="H14" s="277" t="s">
        <v>83</v>
      </c>
      <c r="I14" s="259" t="s">
        <v>0</v>
      </c>
      <c r="J14" s="259" t="s">
        <v>1</v>
      </c>
      <c r="K14" s="259" t="s">
        <v>30</v>
      </c>
      <c r="L14" s="287" t="s">
        <v>31</v>
      </c>
      <c r="M14" s="313" t="s">
        <v>72</v>
      </c>
      <c r="N14" s="36"/>
      <c r="O14" s="36"/>
      <c r="P14" s="6"/>
      <c r="Q14" s="6"/>
    </row>
    <row r="15" spans="1:26" s="5" customFormat="1" ht="20.25" thickBot="1" x14ac:dyDescent="0.4">
      <c r="A15" s="307"/>
      <c r="B15" s="308"/>
      <c r="C15" s="288"/>
      <c r="D15" s="260"/>
      <c r="E15" s="47" t="s">
        <v>7</v>
      </c>
      <c r="F15" s="47" t="s">
        <v>8</v>
      </c>
      <c r="G15" s="274"/>
      <c r="H15" s="260"/>
      <c r="I15" s="260"/>
      <c r="J15" s="260"/>
      <c r="K15" s="260"/>
      <c r="L15" s="289"/>
      <c r="M15" s="314"/>
      <c r="N15" s="36"/>
      <c r="O15" s="36"/>
      <c r="P15" s="6"/>
      <c r="Q15" s="6"/>
    </row>
    <row r="16" spans="1:26" s="5" customFormat="1" ht="22.5" customHeight="1" x14ac:dyDescent="0.4">
      <c r="A16" s="425" t="s">
        <v>33</v>
      </c>
      <c r="B16" s="426"/>
      <c r="C16" s="374"/>
      <c r="D16" s="24"/>
      <c r="E16" s="24"/>
      <c r="F16" s="24"/>
      <c r="G16" s="25"/>
      <c r="H16" s="17">
        <f>IF(OR(O16=0,O17=0),0,IF(O16+O17&gt;=100000,100000,O16+O17))</f>
        <v>0</v>
      </c>
      <c r="I16" s="285">
        <f>D17+E17+F17+G17+H17-H16</f>
        <v>0</v>
      </c>
      <c r="J16" s="270" t="str">
        <f>IF(AND(I16&gt;0,I16&lt;=24000000),430000,
IF(AND(I16&gt;24000000,I16&lt;=24500000),290000,
IF(AND(I16&gt;24500000,I16&lt;=25000000),150000,
IF(I16&gt;25000000,0,""))))</f>
        <v/>
      </c>
      <c r="K16" s="270">
        <f>IFERROR(IF(I16&lt;=0,0,IF(I16-J16&lt;=0,0,I16-J16)),"")</f>
        <v>0</v>
      </c>
      <c r="L16" s="272" t="str">
        <f>IF(AND(C16&lt;65,C16&gt;=40,1),1,"")</f>
        <v/>
      </c>
      <c r="M16" s="318"/>
      <c r="N16" s="316"/>
      <c r="O16" s="91">
        <f>IF(D17=0,0,IF(D17&gt;=100000,100000,D17))</f>
        <v>0</v>
      </c>
      <c r="P16" s="6"/>
      <c r="Q16" s="6"/>
    </row>
    <row r="17" spans="1:27" s="5" customFormat="1" ht="22.5" customHeight="1" x14ac:dyDescent="0.35">
      <c r="A17" s="309"/>
      <c r="B17" s="310"/>
      <c r="C17" s="375"/>
      <c r="D17" s="10">
        <f>IF(M16="有",所得計算R8!C5,所得計算R8!C4)</f>
        <v>0</v>
      </c>
      <c r="E17" s="10" t="str">
        <f>所得計算R8!C19</f>
        <v>0</v>
      </c>
      <c r="F17" s="10" t="str">
        <f>所得計算R8!C21</f>
        <v>0</v>
      </c>
      <c r="G17" s="11"/>
      <c r="H17" s="11"/>
      <c r="I17" s="286"/>
      <c r="J17" s="271"/>
      <c r="K17" s="271"/>
      <c r="L17" s="262"/>
      <c r="M17" s="319"/>
      <c r="N17" s="316"/>
      <c r="O17" s="91">
        <f>IF(E17+F17=0,0,IF(AND(E17&gt;=100000,F17&gt;=100000),100000,E17+F17))</f>
        <v>0</v>
      </c>
      <c r="P17" s="6"/>
      <c r="Q17" s="6"/>
    </row>
    <row r="18" spans="1:27" s="5" customFormat="1" ht="22.5" customHeight="1" x14ac:dyDescent="0.4">
      <c r="A18" s="309" t="s">
        <v>34</v>
      </c>
      <c r="B18" s="310"/>
      <c r="C18" s="370"/>
      <c r="D18" s="11"/>
      <c r="E18" s="11"/>
      <c r="F18" s="11"/>
      <c r="G18" s="12"/>
      <c r="H18" s="251">
        <f>IF(OR(O18=0,O19=0),0,IF(O18+O19&gt;=100000,100000,O18+O19))</f>
        <v>0</v>
      </c>
      <c r="I18" s="285">
        <f>D19+E19+F19+G19+H19-H18</f>
        <v>0</v>
      </c>
      <c r="J18" s="270" t="str">
        <f>IF(AND(I18&gt;0,I18&lt;=24000000),430000,
IF(AND(I18&gt;24000000,I18&lt;=24500000),290000,
IF(AND(I18&gt;24500000,I18&lt;=25000000),150000,
IF(I18&gt;25000000,0,""))))</f>
        <v/>
      </c>
      <c r="K18" s="315">
        <f t="shared" ref="K18" si="0">IFERROR(IF(I18&lt;=0,0,IF(I18-J18&lt;=0,0,I18-J18)),"")</f>
        <v>0</v>
      </c>
      <c r="L18" s="261" t="str">
        <f t="shared" ref="L18" si="1">IF(AND(C18&lt;65,C18&gt;=40,1),1,"")</f>
        <v/>
      </c>
      <c r="M18" s="320"/>
      <c r="N18" s="317"/>
      <c r="O18" s="91">
        <f>IF(D19=0,0,IF(D19&gt;=100000,100000,D19))</f>
        <v>0</v>
      </c>
      <c r="P18" s="6"/>
      <c r="Q18" s="6"/>
    </row>
    <row r="19" spans="1:27" s="5" customFormat="1" ht="22.5" customHeight="1" x14ac:dyDescent="0.35">
      <c r="A19" s="309"/>
      <c r="B19" s="310"/>
      <c r="C19" s="375"/>
      <c r="D19" s="10">
        <f>IF(M18="有",所得計算R8!D5,所得計算R8!D4)</f>
        <v>0</v>
      </c>
      <c r="E19" s="10" t="str">
        <f>所得計算R8!D19</f>
        <v>0</v>
      </c>
      <c r="F19" s="10" t="str">
        <f>所得計算R8!D21</f>
        <v>0</v>
      </c>
      <c r="G19" s="11"/>
      <c r="H19" s="11"/>
      <c r="I19" s="286"/>
      <c r="J19" s="271"/>
      <c r="K19" s="271"/>
      <c r="L19" s="262"/>
      <c r="M19" s="319"/>
      <c r="N19" s="317"/>
      <c r="O19" s="91">
        <f>IF(E19+F19=0,0,IF(AND(E19&gt;=100000,F19&gt;=100000),100000,E19+F19))</f>
        <v>0</v>
      </c>
      <c r="P19" s="6"/>
      <c r="Q19" s="6"/>
    </row>
    <row r="20" spans="1:27" s="5" customFormat="1" ht="22.5" customHeight="1" x14ac:dyDescent="0.4">
      <c r="A20" s="309" t="s">
        <v>35</v>
      </c>
      <c r="B20" s="310"/>
      <c r="C20" s="370"/>
      <c r="D20" s="11"/>
      <c r="E20" s="11"/>
      <c r="F20" s="11"/>
      <c r="G20" s="12"/>
      <c r="H20" s="251">
        <f>IF(OR(O20=0,O21=0),0,IF(O20+O21&gt;=100000,100000,O20+O21))</f>
        <v>0</v>
      </c>
      <c r="I20" s="285">
        <f>D21+E21+F21+G21+H21-H20</f>
        <v>0</v>
      </c>
      <c r="J20" s="270" t="str">
        <f t="shared" ref="J20" si="2">IF(AND(I20&gt;0,I20&lt;=24000000),430000,
IF(AND(I20&gt;24000000,I20&lt;=24500000),290000,
IF(AND(I20&gt;24500000,I20&lt;=25000000),150000,
IF(I20&gt;25000000,0,""))))</f>
        <v/>
      </c>
      <c r="K20" s="315">
        <f t="shared" ref="K20" si="3">IFERROR(IF(I20&lt;=0,0,IF(I20-J20&lt;=0,0,I20-J20)),"")</f>
        <v>0</v>
      </c>
      <c r="L20" s="261" t="str">
        <f t="shared" ref="L20" si="4">IF(AND(C20&lt;65,C20&gt;=40,1),1,"")</f>
        <v/>
      </c>
      <c r="M20" s="320"/>
      <c r="N20" s="36"/>
      <c r="O20" s="91">
        <f>IF(D21=0,0,IF(D21&gt;=100000,100000,D21))</f>
        <v>0</v>
      </c>
      <c r="P20" s="6"/>
      <c r="Q20" s="6"/>
    </row>
    <row r="21" spans="1:27" s="5" customFormat="1" ht="22.5" customHeight="1" x14ac:dyDescent="0.35">
      <c r="A21" s="309"/>
      <c r="B21" s="310"/>
      <c r="C21" s="375"/>
      <c r="D21" s="10">
        <f>IF(M20="有",所得計算R8!E5,所得計算R8!E4)</f>
        <v>0</v>
      </c>
      <c r="E21" s="10" t="str">
        <f>所得計算R8!E19</f>
        <v>0</v>
      </c>
      <c r="F21" s="10" t="str">
        <f>所得計算R8!E21</f>
        <v>0</v>
      </c>
      <c r="G21" s="11"/>
      <c r="H21" s="11"/>
      <c r="I21" s="286"/>
      <c r="J21" s="271"/>
      <c r="K21" s="271"/>
      <c r="L21" s="262"/>
      <c r="M21" s="319"/>
      <c r="N21" s="36"/>
      <c r="O21" s="91">
        <f>IF(E21+F21=0,0,IF(AND(E21&gt;=100000,F21&gt;=100000),100000,E21+F21))</f>
        <v>0</v>
      </c>
      <c r="P21" s="6"/>
      <c r="Q21" s="6"/>
    </row>
    <row r="22" spans="1:27" s="5" customFormat="1" ht="22.5" customHeight="1" x14ac:dyDescent="0.4">
      <c r="A22" s="309" t="s">
        <v>36</v>
      </c>
      <c r="B22" s="310"/>
      <c r="C22" s="370"/>
      <c r="D22" s="11"/>
      <c r="E22" s="11"/>
      <c r="F22" s="11"/>
      <c r="G22" s="12"/>
      <c r="H22" s="251">
        <f>IF(OR(O22=0,O23=0),0,IF(O22+O23&gt;=100000,100000,O22+O23))</f>
        <v>0</v>
      </c>
      <c r="I22" s="368">
        <f>D23+E23+F23+G23+H23-H22</f>
        <v>0</v>
      </c>
      <c r="J22" s="315" t="str">
        <f t="shared" ref="J22" si="5">IF(AND(I22&gt;0,I22&lt;=24000000),430000,
IF(AND(I22&gt;24000000,I22&lt;=24500000),290000,
IF(AND(I22&gt;24500000,I22&lt;=25000000),150000,
IF(I22&gt;25000000,0,""))))</f>
        <v/>
      </c>
      <c r="K22" s="315">
        <f t="shared" ref="K22" si="6">IFERROR(IF(I22&lt;=0,0,IF(I22-J22&lt;=0,0,I22-J22)),"")</f>
        <v>0</v>
      </c>
      <c r="L22" s="261" t="str">
        <f t="shared" ref="L22" si="7">IF(AND(C22&lt;65,C22&gt;=40,1),1,"")</f>
        <v/>
      </c>
      <c r="M22" s="320"/>
      <c r="N22" s="36"/>
      <c r="O22" s="91">
        <f>IF(D23=0,0,IF(D23&gt;=100000,100000,D23))</f>
        <v>0</v>
      </c>
      <c r="P22" s="6"/>
      <c r="Q22" s="6"/>
    </row>
    <row r="23" spans="1:27" s="5" customFormat="1" ht="22.5" customHeight="1" thickBot="1" x14ac:dyDescent="0.4">
      <c r="A23" s="311"/>
      <c r="B23" s="312"/>
      <c r="C23" s="371"/>
      <c r="D23" s="22">
        <f>IF(M22="有",所得計算R8!F5,所得計算R8!F4)</f>
        <v>0</v>
      </c>
      <c r="E23" s="22" t="str">
        <f>所得計算R8!F19</f>
        <v>0</v>
      </c>
      <c r="F23" s="22" t="str">
        <f>所得計算R8!F21</f>
        <v>0</v>
      </c>
      <c r="G23" s="23"/>
      <c r="H23" s="23"/>
      <c r="I23" s="369"/>
      <c r="J23" s="323"/>
      <c r="K23" s="323"/>
      <c r="L23" s="373"/>
      <c r="M23" s="372"/>
      <c r="N23" s="36"/>
      <c r="O23" s="91">
        <f>IF(E23+F23=0,0,IF(AND(E23&gt;=100000,F23&gt;=100000),100000,E23+F23))</f>
        <v>0</v>
      </c>
      <c r="P23" s="6"/>
      <c r="Q23" s="6"/>
    </row>
    <row r="24" spans="1:27" s="5" customFormat="1" ht="23.25" customHeight="1" x14ac:dyDescent="0.35">
      <c r="A24" s="36"/>
      <c r="B24" s="36"/>
      <c r="C24" s="38"/>
      <c r="D24" s="36"/>
      <c r="E24" s="36"/>
      <c r="F24" s="36"/>
      <c r="G24" s="36"/>
      <c r="H24" s="36"/>
      <c r="I24" s="36"/>
      <c r="J24" s="36"/>
      <c r="K24" s="39"/>
      <c r="L24" s="40"/>
      <c r="M24" s="40"/>
      <c r="N24" s="36"/>
      <c r="O24" s="36"/>
      <c r="P24" s="6"/>
      <c r="Q24" s="6"/>
    </row>
    <row r="25" spans="1:27" s="5" customFormat="1" ht="24" x14ac:dyDescent="0.35">
      <c r="A25" s="51">
        <v>3</v>
      </c>
      <c r="B25" s="300" t="s">
        <v>73</v>
      </c>
      <c r="C25" s="301"/>
      <c r="D25" s="302"/>
      <c r="E25" s="41"/>
      <c r="F25" s="41"/>
      <c r="G25" s="41"/>
      <c r="H25" s="41"/>
      <c r="I25" s="41"/>
      <c r="J25" s="41"/>
      <c r="K25" s="41"/>
      <c r="L25" s="36"/>
      <c r="M25" s="36"/>
      <c r="N25" s="36"/>
      <c r="O25" s="36"/>
      <c r="P25" s="6"/>
      <c r="Q25" s="6"/>
    </row>
    <row r="26" spans="1:27" s="5" customFormat="1" ht="21.75" customHeight="1" x14ac:dyDescent="0.35">
      <c r="A26" s="41"/>
      <c r="B26" s="284" t="s">
        <v>74</v>
      </c>
      <c r="C26" s="284"/>
      <c r="D26" s="284"/>
      <c r="E26" s="284"/>
      <c r="F26" s="284"/>
      <c r="G26" s="284"/>
      <c r="H26" s="284"/>
      <c r="I26" s="284"/>
      <c r="J26" s="41"/>
      <c r="K26" s="41"/>
      <c r="L26" s="36"/>
      <c r="M26" s="36"/>
      <c r="N26" s="36"/>
      <c r="O26" s="31"/>
      <c r="P26" s="6"/>
      <c r="Q26" s="6"/>
    </row>
    <row r="27" spans="1:27" s="5" customFormat="1" ht="21.75" customHeight="1" thickBot="1" x14ac:dyDescent="0.4">
      <c r="A27" s="41"/>
      <c r="B27" s="284"/>
      <c r="C27" s="284"/>
      <c r="D27" s="284"/>
      <c r="E27" s="284"/>
      <c r="F27" s="284"/>
      <c r="G27" s="284"/>
      <c r="H27" s="284"/>
      <c r="I27" s="284"/>
      <c r="J27" s="41"/>
      <c r="K27" s="41"/>
      <c r="L27" s="36"/>
      <c r="M27" s="36"/>
      <c r="N27" s="36"/>
      <c r="O27" s="31"/>
      <c r="P27" s="6"/>
      <c r="Q27" s="7"/>
      <c r="R27" s="127"/>
      <c r="S27" s="127"/>
      <c r="T27" s="127"/>
      <c r="U27" s="127"/>
      <c r="V27" s="127"/>
      <c r="W27" s="127"/>
      <c r="X27" s="127"/>
      <c r="Y27" s="6"/>
    </row>
    <row r="28" spans="1:27" s="7" customFormat="1" ht="36.75" customHeight="1" thickBot="1" x14ac:dyDescent="0.4">
      <c r="A28" s="38"/>
      <c r="B28" s="38"/>
      <c r="C28" s="356" t="s">
        <v>75</v>
      </c>
      <c r="D28" s="61" t="s">
        <v>49</v>
      </c>
      <c r="E28" s="62" t="s">
        <v>50</v>
      </c>
      <c r="F28" s="63" t="s">
        <v>79</v>
      </c>
      <c r="G28" s="62" t="s">
        <v>77</v>
      </c>
      <c r="H28" s="63" t="s">
        <v>78</v>
      </c>
      <c r="I28" s="62" t="s">
        <v>51</v>
      </c>
      <c r="J28" s="64" t="s">
        <v>80</v>
      </c>
      <c r="K28" s="65" t="s">
        <v>76</v>
      </c>
      <c r="L28" s="36"/>
      <c r="M28" s="355" t="s">
        <v>179</v>
      </c>
      <c r="N28" s="355"/>
      <c r="O28" s="38"/>
      <c r="R28" s="131"/>
      <c r="S28" s="131"/>
      <c r="T28" s="131"/>
      <c r="U28" s="131"/>
      <c r="V28" s="131"/>
      <c r="W28" s="131"/>
      <c r="X28" s="131"/>
    </row>
    <row r="29" spans="1:27" s="5" customFormat="1" ht="36.75" customHeight="1" thickBot="1" x14ac:dyDescent="0.4">
      <c r="A29" s="36"/>
      <c r="B29" s="36"/>
      <c r="C29" s="357"/>
      <c r="D29" s="57"/>
      <c r="E29" s="56">
        <f>所得計算R8!G4</f>
        <v>0</v>
      </c>
      <c r="F29" s="57"/>
      <c r="G29" s="56" t="str">
        <f>所得計算R8!G19</f>
        <v>0</v>
      </c>
      <c r="H29" s="57"/>
      <c r="I29" s="56" t="str">
        <f>所得計算R8!G21</f>
        <v>0</v>
      </c>
      <c r="J29" s="58"/>
      <c r="K29" s="109">
        <f>E29+G29+I29+J29</f>
        <v>0</v>
      </c>
      <c r="L29" s="36"/>
      <c r="M29" s="355"/>
      <c r="N29" s="355"/>
      <c r="O29" s="36"/>
      <c r="Q29" s="137"/>
      <c r="R29" s="127"/>
      <c r="S29" s="127"/>
      <c r="T29" s="127"/>
      <c r="U29" s="127"/>
      <c r="V29" s="127"/>
      <c r="W29" s="127"/>
      <c r="X29" s="127"/>
      <c r="Y29" s="6"/>
      <c r="Z29" s="6"/>
      <c r="AA29" s="6"/>
    </row>
    <row r="30" spans="1:27" s="5" customFormat="1" ht="12.75" customHeight="1" x14ac:dyDescent="0.4">
      <c r="A30" s="36"/>
      <c r="B30" s="36"/>
      <c r="C30" s="36"/>
      <c r="D30" s="42"/>
      <c r="E30" s="43"/>
      <c r="F30" s="42"/>
      <c r="G30" s="43"/>
      <c r="H30" s="42"/>
      <c r="I30" s="43"/>
      <c r="J30" s="44"/>
      <c r="K30" s="36"/>
      <c r="L30" s="45"/>
      <c r="M30" s="46"/>
      <c r="N30" s="36"/>
      <c r="O30" s="36"/>
      <c r="P30" s="6"/>
      <c r="Q30" s="7"/>
      <c r="R30" s="127"/>
      <c r="S30" s="127"/>
      <c r="T30" s="127"/>
      <c r="U30" s="127"/>
      <c r="V30" s="127"/>
      <c r="W30" s="127"/>
      <c r="X30" s="127"/>
      <c r="Y30" s="6"/>
      <c r="Z30" s="6"/>
    </row>
    <row r="31" spans="1:27" s="5" customFormat="1" ht="7.5" customHeight="1" thickBot="1" x14ac:dyDescent="0.4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92"/>
      <c r="P31" s="6"/>
      <c r="Q31" s="7"/>
      <c r="R31" s="127"/>
      <c r="S31" s="127"/>
      <c r="T31" s="127"/>
      <c r="U31" s="127"/>
      <c r="V31" s="127"/>
      <c r="W31" s="127"/>
      <c r="X31" s="127"/>
      <c r="Y31" s="6"/>
      <c r="Z31" s="6"/>
    </row>
    <row r="32" spans="1:27" ht="33" customHeight="1" thickBot="1" x14ac:dyDescent="0.45">
      <c r="A32" s="80"/>
      <c r="B32" s="281" t="s">
        <v>177</v>
      </c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3"/>
      <c r="N32" s="79"/>
      <c r="O32" s="92"/>
    </row>
    <row r="33" spans="1:26" s="5" customFormat="1" ht="33" customHeight="1" thickBot="1" x14ac:dyDescent="0.4">
      <c r="A33" s="353"/>
      <c r="B33" s="353"/>
      <c r="C33" s="353"/>
      <c r="D33" s="81"/>
      <c r="E33" s="82"/>
      <c r="F33" s="81"/>
      <c r="G33" s="81"/>
      <c r="H33" s="82"/>
      <c r="I33" s="82"/>
      <c r="J33" s="82"/>
      <c r="K33" s="81"/>
      <c r="L33" s="82"/>
      <c r="M33" s="82"/>
      <c r="N33" s="82"/>
      <c r="O33" s="92"/>
      <c r="P33" s="6"/>
      <c r="Q33" s="7"/>
      <c r="R33" s="127"/>
      <c r="S33" s="127"/>
      <c r="T33" s="127"/>
      <c r="U33" s="127"/>
      <c r="V33" s="127"/>
      <c r="W33" s="127"/>
      <c r="X33" s="127"/>
      <c r="Y33" s="6"/>
      <c r="Z33" s="6"/>
    </row>
    <row r="34" spans="1:26" s="5" customFormat="1" ht="33" customHeight="1" x14ac:dyDescent="0.35">
      <c r="A34" s="82"/>
      <c r="B34" s="290" t="s">
        <v>42</v>
      </c>
      <c r="C34" s="291"/>
      <c r="D34" s="278" t="s">
        <v>46</v>
      </c>
      <c r="E34" s="279"/>
      <c r="F34" s="280"/>
      <c r="G34" s="278" t="s">
        <v>47</v>
      </c>
      <c r="H34" s="279"/>
      <c r="I34" s="280"/>
      <c r="J34" s="278" t="s">
        <v>48</v>
      </c>
      <c r="K34" s="354"/>
      <c r="L34" s="358" t="s">
        <v>55</v>
      </c>
      <c r="M34" s="359"/>
      <c r="N34" s="82"/>
      <c r="O34" s="92"/>
      <c r="P34" s="6"/>
      <c r="Q34" s="7"/>
      <c r="R34" s="127"/>
      <c r="S34" s="127"/>
      <c r="T34" s="127"/>
      <c r="U34" s="127"/>
      <c r="V34" s="127"/>
      <c r="W34" s="127"/>
      <c r="X34" s="127"/>
      <c r="Y34" s="6"/>
    </row>
    <row r="35" spans="1:26" s="5" customFormat="1" ht="33" customHeight="1" x14ac:dyDescent="0.35">
      <c r="A35" s="83"/>
      <c r="B35" s="292"/>
      <c r="C35" s="293"/>
      <c r="D35" s="106" t="s">
        <v>30</v>
      </c>
      <c r="E35" s="102" t="s">
        <v>37</v>
      </c>
      <c r="F35" s="102" t="s">
        <v>38</v>
      </c>
      <c r="G35" s="102" t="s">
        <v>39</v>
      </c>
      <c r="H35" s="102" t="s">
        <v>40</v>
      </c>
      <c r="I35" s="102" t="s">
        <v>41</v>
      </c>
      <c r="J35" s="102" t="s">
        <v>44</v>
      </c>
      <c r="K35" s="103" t="s">
        <v>40</v>
      </c>
      <c r="L35" s="360"/>
      <c r="M35" s="361"/>
      <c r="N35" s="117" t="s">
        <v>53</v>
      </c>
      <c r="O35" s="92"/>
      <c r="P35" s="6"/>
      <c r="Q35" s="7"/>
      <c r="R35" s="127"/>
      <c r="S35" s="127"/>
      <c r="T35" s="127"/>
      <c r="U35" s="127"/>
      <c r="V35" s="127"/>
      <c r="W35" s="127"/>
      <c r="X35" s="127"/>
      <c r="Y35" s="6"/>
    </row>
    <row r="36" spans="1:26" s="5" customFormat="1" ht="21.75" customHeight="1" x14ac:dyDescent="0.35">
      <c r="A36" s="83"/>
      <c r="B36" s="292"/>
      <c r="C36" s="293"/>
      <c r="D36" s="362">
        <f>IFERROR(K16+K18+K20+K22,"")</f>
        <v>0</v>
      </c>
      <c r="E36" s="364">
        <f>所得計算R8!B47</f>
        <v>6.6600000000000006E-2</v>
      </c>
      <c r="F36" s="362">
        <f>IF(D36="",0,ROUNDDOWN(D36*E36,0))</f>
        <v>0</v>
      </c>
      <c r="G36" s="113">
        <f>I8-G37</f>
        <v>0</v>
      </c>
      <c r="H36" s="114">
        <f>所得計算R8!C47</f>
        <v>17400</v>
      </c>
      <c r="I36" s="362">
        <f>(G36*H36)+(G37*H37)</f>
        <v>0</v>
      </c>
      <c r="J36" s="417" t="s">
        <v>45</v>
      </c>
      <c r="K36" s="415">
        <f>所得計算R8!D47</f>
        <v>24400</v>
      </c>
      <c r="L36" s="255">
        <f>IF((F36+I36+K36)&gt;N36,N36,(F36+I36+K36))</f>
        <v>24400</v>
      </c>
      <c r="M36" s="256"/>
      <c r="N36" s="253">
        <f>所得計算R8!E47</f>
        <v>670000</v>
      </c>
      <c r="O36" s="92"/>
      <c r="P36" s="6"/>
      <c r="Q36" s="7"/>
      <c r="R36" s="127"/>
      <c r="S36" s="127"/>
      <c r="T36" s="127"/>
      <c r="U36" s="127"/>
      <c r="V36" s="127"/>
      <c r="W36" s="127"/>
      <c r="X36" s="127"/>
      <c r="Y36" s="6"/>
      <c r="Z36" s="6"/>
    </row>
    <row r="37" spans="1:26" s="5" customFormat="1" ht="21.75" customHeight="1" thickBot="1" x14ac:dyDescent="0.4">
      <c r="A37" s="112"/>
      <c r="B37" s="294"/>
      <c r="C37" s="295"/>
      <c r="D37" s="363"/>
      <c r="E37" s="365"/>
      <c r="F37" s="363"/>
      <c r="G37" s="115">
        <f>E57</f>
        <v>0</v>
      </c>
      <c r="H37" s="116">
        <f>所得計算R8!C47*G37/2</f>
        <v>0</v>
      </c>
      <c r="I37" s="363"/>
      <c r="J37" s="418"/>
      <c r="K37" s="416"/>
      <c r="L37" s="257"/>
      <c r="M37" s="258"/>
      <c r="N37" s="254"/>
      <c r="O37" s="92"/>
      <c r="P37" s="6"/>
      <c r="Q37" s="7"/>
      <c r="R37" s="127"/>
      <c r="S37" s="127"/>
      <c r="T37" s="127"/>
      <c r="U37" s="127"/>
      <c r="V37" s="127"/>
      <c r="W37" s="127"/>
      <c r="X37" s="127"/>
      <c r="Y37" s="6"/>
      <c r="Z37" s="6"/>
    </row>
    <row r="38" spans="1:26" s="5" customFormat="1" ht="15" customHeight="1" thickBot="1" x14ac:dyDescent="0.4">
      <c r="A38" s="353"/>
      <c r="B38" s="353"/>
      <c r="C38" s="353"/>
      <c r="D38" s="81"/>
      <c r="E38" s="82"/>
      <c r="F38" s="81"/>
      <c r="G38" s="81"/>
      <c r="H38" s="82"/>
      <c r="I38" s="82"/>
      <c r="J38" s="82"/>
      <c r="K38" s="81"/>
      <c r="L38" s="82"/>
      <c r="M38" s="82"/>
      <c r="N38" s="82"/>
      <c r="O38" s="92"/>
      <c r="P38" s="6"/>
      <c r="Q38" s="7"/>
      <c r="R38" s="127"/>
      <c r="S38" s="127"/>
      <c r="T38" s="127"/>
      <c r="U38" s="127"/>
      <c r="V38" s="127"/>
      <c r="W38" s="127"/>
      <c r="X38" s="127"/>
      <c r="Y38" s="6"/>
      <c r="Z38" s="6"/>
    </row>
    <row r="39" spans="1:26" s="5" customFormat="1" ht="33" customHeight="1" x14ac:dyDescent="0.35">
      <c r="A39" s="83"/>
      <c r="B39" s="419" t="s">
        <v>178</v>
      </c>
      <c r="C39" s="420"/>
      <c r="D39" s="330" t="s">
        <v>46</v>
      </c>
      <c r="E39" s="331"/>
      <c r="F39" s="332"/>
      <c r="G39" s="330" t="s">
        <v>47</v>
      </c>
      <c r="H39" s="331"/>
      <c r="I39" s="332"/>
      <c r="J39" s="267"/>
      <c r="K39" s="267"/>
      <c r="L39" s="349" t="s">
        <v>56</v>
      </c>
      <c r="M39" s="350"/>
      <c r="N39" s="82"/>
      <c r="O39" s="92"/>
      <c r="P39" s="6"/>
      <c r="Q39" s="7"/>
      <c r="R39" s="127"/>
      <c r="S39" s="127"/>
      <c r="T39" s="127"/>
      <c r="U39" s="127"/>
      <c r="V39" s="127"/>
      <c r="W39" s="127"/>
      <c r="X39" s="127"/>
      <c r="Y39" s="6"/>
      <c r="Z39" s="6"/>
    </row>
    <row r="40" spans="1:26" s="5" customFormat="1" ht="33" customHeight="1" x14ac:dyDescent="0.35">
      <c r="A40" s="83"/>
      <c r="B40" s="421"/>
      <c r="C40" s="422"/>
      <c r="D40" s="107" t="s">
        <v>30</v>
      </c>
      <c r="E40" s="104" t="s">
        <v>37</v>
      </c>
      <c r="F40" s="104" t="s">
        <v>38</v>
      </c>
      <c r="G40" s="104" t="s">
        <v>39</v>
      </c>
      <c r="H40" s="104" t="s">
        <v>40</v>
      </c>
      <c r="I40" s="104" t="s">
        <v>41</v>
      </c>
      <c r="J40" s="268"/>
      <c r="K40" s="268"/>
      <c r="L40" s="351"/>
      <c r="M40" s="352"/>
      <c r="N40" s="118" t="s">
        <v>53</v>
      </c>
      <c r="O40" s="92"/>
      <c r="P40" s="6"/>
      <c r="Q40" s="7"/>
      <c r="R40" s="127"/>
      <c r="S40" s="127"/>
      <c r="T40" s="127"/>
      <c r="U40" s="127"/>
      <c r="V40" s="127"/>
      <c r="W40" s="127"/>
      <c r="X40" s="127"/>
      <c r="Y40" s="6"/>
      <c r="Z40" s="6"/>
    </row>
    <row r="41" spans="1:26" s="5" customFormat="1" ht="21.75" customHeight="1" x14ac:dyDescent="0.35">
      <c r="A41" s="83"/>
      <c r="B41" s="421"/>
      <c r="C41" s="422"/>
      <c r="D41" s="265">
        <f>IFERROR(K16+K18+K20+K22,"")</f>
        <v>0</v>
      </c>
      <c r="E41" s="275">
        <f>所得計算R8!F47</f>
        <v>2.5999999999999999E-2</v>
      </c>
      <c r="F41" s="265">
        <f>IF(D41="",0,ROUNDDOWN(D41*E41,0))</f>
        <v>0</v>
      </c>
      <c r="G41" s="113">
        <f>I8-G42</f>
        <v>0</v>
      </c>
      <c r="H41" s="114">
        <f>所得計算R8!G47</f>
        <v>12000</v>
      </c>
      <c r="I41" s="265">
        <f>(G41*H41)+(G42*H42)</f>
        <v>0</v>
      </c>
      <c r="J41" s="268"/>
      <c r="K41" s="268"/>
      <c r="L41" s="263">
        <f>IF((F41+I41)&gt;N41,N41,(F41+I41))</f>
        <v>0</v>
      </c>
      <c r="M41" s="256"/>
      <c r="N41" s="253">
        <f>所得計算R8!H47</f>
        <v>260000</v>
      </c>
      <c r="O41" s="92"/>
      <c r="P41" s="6"/>
      <c r="Q41" s="7"/>
      <c r="R41" s="127"/>
      <c r="S41" s="127"/>
      <c r="T41" s="127"/>
      <c r="U41" s="127"/>
      <c r="V41" s="127"/>
      <c r="W41" s="127"/>
      <c r="X41" s="127"/>
      <c r="Y41" s="6"/>
      <c r="Z41" s="6"/>
    </row>
    <row r="42" spans="1:26" s="5" customFormat="1" ht="21.75" customHeight="1" thickBot="1" x14ac:dyDescent="0.4">
      <c r="A42" s="112"/>
      <c r="B42" s="423"/>
      <c r="C42" s="424"/>
      <c r="D42" s="266"/>
      <c r="E42" s="276"/>
      <c r="F42" s="266"/>
      <c r="G42" s="115">
        <f>E57</f>
        <v>0</v>
      </c>
      <c r="H42" s="116">
        <f>所得計算R8!G47*G37/2</f>
        <v>0</v>
      </c>
      <c r="I42" s="266"/>
      <c r="J42" s="269"/>
      <c r="K42" s="269"/>
      <c r="L42" s="264"/>
      <c r="M42" s="258"/>
      <c r="N42" s="254"/>
      <c r="O42" s="92"/>
      <c r="P42" s="6"/>
      <c r="Q42" s="7"/>
      <c r="R42" s="127"/>
      <c r="S42" s="127"/>
      <c r="T42" s="127"/>
      <c r="U42" s="127"/>
      <c r="V42" s="127"/>
      <c r="W42" s="127"/>
      <c r="X42" s="127"/>
      <c r="Y42" s="6"/>
      <c r="Z42" s="6"/>
    </row>
    <row r="43" spans="1:26" s="5" customFormat="1" ht="15" customHeight="1" thickBot="1" x14ac:dyDescent="0.4">
      <c r="A43" s="353"/>
      <c r="B43" s="353"/>
      <c r="C43" s="353"/>
      <c r="D43" s="81"/>
      <c r="E43" s="82"/>
      <c r="F43" s="81"/>
      <c r="G43" s="81"/>
      <c r="H43" s="82"/>
      <c r="I43" s="82"/>
      <c r="J43" s="82"/>
      <c r="K43" s="81"/>
      <c r="L43" s="82"/>
      <c r="M43" s="82"/>
      <c r="N43" s="82"/>
      <c r="O43" s="92"/>
      <c r="P43" s="6"/>
      <c r="Q43" s="7"/>
      <c r="R43" s="127"/>
      <c r="S43" s="127"/>
      <c r="T43" s="127"/>
      <c r="U43" s="127"/>
      <c r="V43" s="127"/>
      <c r="W43" s="127"/>
      <c r="X43" s="127"/>
      <c r="Y43" s="6"/>
      <c r="Z43" s="6"/>
    </row>
    <row r="44" spans="1:26" s="5" customFormat="1" ht="33" customHeight="1" x14ac:dyDescent="0.35">
      <c r="A44" s="83"/>
      <c r="B44" s="343" t="s">
        <v>43</v>
      </c>
      <c r="C44" s="344"/>
      <c r="D44" s="399" t="s">
        <v>46</v>
      </c>
      <c r="E44" s="400"/>
      <c r="F44" s="401"/>
      <c r="G44" s="399" t="s">
        <v>47</v>
      </c>
      <c r="H44" s="400"/>
      <c r="I44" s="401"/>
      <c r="J44" s="324"/>
      <c r="K44" s="325"/>
      <c r="L44" s="391" t="s">
        <v>57</v>
      </c>
      <c r="M44" s="392"/>
      <c r="N44" s="83"/>
      <c r="O44" s="92"/>
      <c r="P44" s="6"/>
      <c r="Q44" s="7"/>
      <c r="R44" s="127"/>
      <c r="S44" s="127"/>
      <c r="T44" s="127"/>
      <c r="U44" s="127"/>
      <c r="V44" s="127"/>
      <c r="W44" s="127"/>
      <c r="X44" s="127"/>
      <c r="Y44" s="6"/>
      <c r="Z44" s="6"/>
    </row>
    <row r="45" spans="1:26" s="5" customFormat="1" ht="33" customHeight="1" x14ac:dyDescent="0.35">
      <c r="A45" s="83"/>
      <c r="B45" s="345"/>
      <c r="C45" s="346"/>
      <c r="D45" s="108" t="s">
        <v>30</v>
      </c>
      <c r="E45" s="105" t="s">
        <v>37</v>
      </c>
      <c r="F45" s="105" t="s">
        <v>38</v>
      </c>
      <c r="G45" s="105" t="s">
        <v>39</v>
      </c>
      <c r="H45" s="105" t="s">
        <v>40</v>
      </c>
      <c r="I45" s="105" t="s">
        <v>41</v>
      </c>
      <c r="J45" s="326"/>
      <c r="K45" s="327"/>
      <c r="L45" s="393"/>
      <c r="M45" s="394"/>
      <c r="N45" s="70" t="s">
        <v>53</v>
      </c>
      <c r="O45" s="92"/>
      <c r="P45" s="6"/>
      <c r="Q45" s="7"/>
      <c r="R45" s="127"/>
      <c r="S45" s="127"/>
      <c r="T45" s="127"/>
      <c r="U45" s="127"/>
      <c r="V45" s="127"/>
      <c r="W45" s="127"/>
      <c r="X45" s="127"/>
      <c r="Y45" s="6"/>
      <c r="Z45" s="6"/>
    </row>
    <row r="46" spans="1:26" s="5" customFormat="1" ht="45" customHeight="1" thickBot="1" x14ac:dyDescent="0.4">
      <c r="A46" s="83"/>
      <c r="B46" s="347"/>
      <c r="C46" s="348"/>
      <c r="D46" s="66">
        <f>IFERROR(IF(L16=1,K16,0)+IF(L18=1,K18,0)+IF(L20=1,K20,0)+IF(L22=1,K22,0),"")</f>
        <v>0</v>
      </c>
      <c r="E46" s="67">
        <f>所得計算R8!I47</f>
        <v>1.7999999999999999E-2</v>
      </c>
      <c r="F46" s="66">
        <f>IF(D46="",0,ROUNDDOWN(D46*E46,0))</f>
        <v>0</v>
      </c>
      <c r="G46" s="68">
        <f>K8</f>
        <v>0</v>
      </c>
      <c r="H46" s="69">
        <f>所得計算R8!J47</f>
        <v>16000</v>
      </c>
      <c r="I46" s="66">
        <f>G46*H46</f>
        <v>0</v>
      </c>
      <c r="J46" s="328"/>
      <c r="K46" s="329"/>
      <c r="L46" s="395">
        <f>IF((F46+I46)&gt;N46,N46,(F46+I46))</f>
        <v>0</v>
      </c>
      <c r="M46" s="396"/>
      <c r="N46" s="14">
        <f>IF(K8&gt;=1,所得計算R8!K47,0)</f>
        <v>0</v>
      </c>
      <c r="O46" s="92"/>
      <c r="P46" s="6"/>
      <c r="Q46" s="7"/>
      <c r="R46" s="127"/>
      <c r="S46" s="127"/>
      <c r="T46" s="127"/>
      <c r="U46" s="127"/>
      <c r="V46" s="127"/>
      <c r="W46" s="127"/>
      <c r="X46" s="127"/>
      <c r="Y46" s="6"/>
      <c r="Z46" s="6"/>
    </row>
    <row r="47" spans="1:26" s="5" customFormat="1" ht="15" customHeight="1" thickBot="1" x14ac:dyDescent="0.4">
      <c r="A47" s="353"/>
      <c r="B47" s="353"/>
      <c r="C47" s="353"/>
      <c r="D47" s="81"/>
      <c r="E47" s="82"/>
      <c r="F47" s="81"/>
      <c r="G47" s="81"/>
      <c r="H47" s="82"/>
      <c r="I47" s="82"/>
      <c r="J47" s="82"/>
      <c r="K47" s="81"/>
      <c r="L47" s="82"/>
      <c r="M47" s="82"/>
      <c r="N47" s="82"/>
      <c r="O47" s="92"/>
      <c r="P47" s="6"/>
      <c r="Q47" s="7"/>
      <c r="R47" s="127"/>
      <c r="S47" s="127"/>
      <c r="T47" s="127"/>
      <c r="U47" s="127"/>
      <c r="V47" s="127"/>
      <c r="W47" s="127"/>
      <c r="X47" s="127"/>
      <c r="Y47" s="6"/>
      <c r="Z47" s="6"/>
    </row>
    <row r="48" spans="1:26" s="5" customFormat="1" ht="33" customHeight="1" x14ac:dyDescent="0.35">
      <c r="A48" s="143"/>
      <c r="B48" s="428" t="s">
        <v>94</v>
      </c>
      <c r="C48" s="429"/>
      <c r="D48" s="402" t="s">
        <v>46</v>
      </c>
      <c r="E48" s="403"/>
      <c r="F48" s="404"/>
      <c r="G48" s="402" t="s">
        <v>47</v>
      </c>
      <c r="H48" s="403"/>
      <c r="I48" s="404"/>
      <c r="J48" s="267"/>
      <c r="K48" s="267"/>
      <c r="L48" s="405" t="s">
        <v>140</v>
      </c>
      <c r="M48" s="406"/>
      <c r="N48" s="143"/>
      <c r="O48" s="92"/>
      <c r="P48" s="6"/>
      <c r="Q48" s="7"/>
      <c r="R48" s="127"/>
      <c r="S48" s="127"/>
      <c r="T48" s="127"/>
      <c r="U48" s="127"/>
      <c r="V48" s="127"/>
      <c r="W48" s="127"/>
      <c r="X48" s="127"/>
      <c r="Y48" s="6"/>
      <c r="Z48" s="6"/>
    </row>
    <row r="49" spans="1:26" s="5" customFormat="1" ht="33" customHeight="1" x14ac:dyDescent="0.35">
      <c r="A49" s="143"/>
      <c r="B49" s="430"/>
      <c r="C49" s="431"/>
      <c r="D49" s="144" t="s">
        <v>30</v>
      </c>
      <c r="E49" s="145" t="s">
        <v>37</v>
      </c>
      <c r="F49" s="145" t="s">
        <v>38</v>
      </c>
      <c r="G49" s="145" t="s">
        <v>39</v>
      </c>
      <c r="H49" s="145" t="s">
        <v>40</v>
      </c>
      <c r="I49" s="145" t="s">
        <v>41</v>
      </c>
      <c r="J49" s="268"/>
      <c r="K49" s="268"/>
      <c r="L49" s="407"/>
      <c r="M49" s="408"/>
      <c r="N49" s="146" t="s">
        <v>53</v>
      </c>
      <c r="O49" s="92"/>
      <c r="P49" s="6"/>
      <c r="Q49" s="7"/>
      <c r="R49" s="127"/>
      <c r="S49" s="127"/>
      <c r="T49" s="127"/>
      <c r="U49" s="127"/>
      <c r="V49" s="127"/>
      <c r="W49" s="127"/>
      <c r="X49" s="127"/>
      <c r="Y49" s="6"/>
      <c r="Z49" s="6"/>
    </row>
    <row r="50" spans="1:26" s="5" customFormat="1" ht="21.75" customHeight="1" x14ac:dyDescent="0.35">
      <c r="A50" s="143"/>
      <c r="B50" s="430"/>
      <c r="C50" s="431"/>
      <c r="D50" s="409">
        <f>IFERROR(K16+K18+K20+K22,"")</f>
        <v>0</v>
      </c>
      <c r="E50" s="411">
        <f>所得計算R8!L47</f>
        <v>2.2000000000000001E-3</v>
      </c>
      <c r="F50" s="409">
        <f>IF(D50="",0,ROUNDDOWN(D50*E50,0))</f>
        <v>0</v>
      </c>
      <c r="G50" s="113">
        <f>I8-G51</f>
        <v>0</v>
      </c>
      <c r="H50" s="114">
        <f>所得計算R8!M47</f>
        <v>2300</v>
      </c>
      <c r="I50" s="362">
        <f>G50*H50</f>
        <v>0</v>
      </c>
      <c r="J50" s="268"/>
      <c r="K50" s="268"/>
      <c r="L50" s="263">
        <f>IF((F50+I50)&gt;N50,N50,(F50+I50))</f>
        <v>0</v>
      </c>
      <c r="M50" s="256"/>
      <c r="N50" s="366">
        <f>所得計算R8!N47</f>
        <v>30000</v>
      </c>
      <c r="O50" s="92"/>
      <c r="P50" s="6"/>
      <c r="Q50" s="7"/>
      <c r="R50" s="127"/>
      <c r="S50" s="127"/>
      <c r="T50" s="127"/>
      <c r="U50" s="127"/>
      <c r="V50" s="127"/>
      <c r="W50" s="127"/>
      <c r="X50" s="127"/>
      <c r="Y50" s="6"/>
      <c r="Z50" s="6"/>
    </row>
    <row r="51" spans="1:26" s="5" customFormat="1" ht="21.75" customHeight="1" thickBot="1" x14ac:dyDescent="0.4">
      <c r="A51" s="143"/>
      <c r="B51" s="432"/>
      <c r="C51" s="433"/>
      <c r="D51" s="410"/>
      <c r="E51" s="412"/>
      <c r="F51" s="410"/>
      <c r="G51" s="115">
        <f>COUNTIF(C16:C23,"&lt;18")</f>
        <v>0</v>
      </c>
      <c r="H51" s="147" t="s">
        <v>95</v>
      </c>
      <c r="I51" s="363"/>
      <c r="J51" s="269"/>
      <c r="K51" s="269"/>
      <c r="L51" s="264"/>
      <c r="M51" s="258"/>
      <c r="N51" s="367"/>
      <c r="O51" s="92"/>
      <c r="P51" s="6"/>
      <c r="Q51" s="7"/>
      <c r="R51" s="127"/>
      <c r="S51" s="127"/>
      <c r="T51" s="127"/>
      <c r="U51" s="127"/>
      <c r="V51" s="127"/>
      <c r="W51" s="127"/>
      <c r="X51" s="127"/>
      <c r="Y51" s="6"/>
      <c r="Z51" s="6"/>
    </row>
    <row r="52" spans="1:26" s="5" customFormat="1" ht="18" customHeight="1" thickBot="1" x14ac:dyDescent="0.4">
      <c r="A52" s="98"/>
      <c r="B52" s="98"/>
      <c r="C52" s="98"/>
      <c r="D52" s="81"/>
      <c r="E52" s="82"/>
      <c r="F52" s="81"/>
      <c r="G52" s="99"/>
      <c r="H52" s="82"/>
      <c r="I52" s="82"/>
      <c r="J52" s="82"/>
      <c r="K52" s="81"/>
      <c r="L52" s="82"/>
      <c r="M52" s="82"/>
      <c r="N52" s="82"/>
      <c r="O52" s="92"/>
      <c r="P52" s="6"/>
      <c r="Q52" s="7"/>
      <c r="R52" s="127"/>
      <c r="S52" s="127"/>
      <c r="T52" s="127"/>
      <c r="U52" s="127"/>
      <c r="V52" s="127"/>
      <c r="W52" s="127"/>
      <c r="X52" s="127"/>
      <c r="Y52" s="6"/>
      <c r="Z52" s="6"/>
    </row>
    <row r="53" spans="1:26" s="5" customFormat="1" ht="32.25" customHeight="1" x14ac:dyDescent="0.35">
      <c r="A53" s="83"/>
      <c r="B53" s="380" t="s">
        <v>54</v>
      </c>
      <c r="C53" s="381"/>
      <c r="D53" s="397" t="s">
        <v>29</v>
      </c>
      <c r="E53" s="398"/>
      <c r="F53" s="72" t="s">
        <v>19</v>
      </c>
      <c r="G53" s="94">
        <f>所得計算R8!O16</f>
        <v>0</v>
      </c>
      <c r="H53" s="95"/>
      <c r="I53" s="83"/>
      <c r="J53" s="335" t="s">
        <v>141</v>
      </c>
      <c r="K53" s="336"/>
      <c r="L53" s="376">
        <f>IF(ROUNDDOWN(L36+L41+L46+L50,-2)&gt;所得計算R8!O55,所得計算R8!O55,ROUNDDOWN(L36+L41+L46+L50,-2))</f>
        <v>24400</v>
      </c>
      <c r="M53" s="377"/>
      <c r="N53" s="71" t="s">
        <v>53</v>
      </c>
      <c r="O53" s="92"/>
      <c r="P53" s="6"/>
      <c r="Q53" s="7"/>
      <c r="R53" s="127"/>
      <c r="S53" s="127"/>
      <c r="T53" s="127"/>
      <c r="U53" s="127"/>
      <c r="V53" s="127"/>
      <c r="W53" s="127"/>
      <c r="X53" s="127"/>
      <c r="Y53" s="6"/>
      <c r="Z53" s="6"/>
    </row>
    <row r="54" spans="1:26" s="5" customFormat="1" ht="32.25" customHeight="1" thickBot="1" x14ac:dyDescent="0.4">
      <c r="A54" s="83"/>
      <c r="B54" s="96"/>
      <c r="C54" s="96"/>
      <c r="D54" s="73" t="s">
        <v>28</v>
      </c>
      <c r="E54" s="15">
        <f>所得計算R8!O12</f>
        <v>0</v>
      </c>
      <c r="F54" s="74" t="s">
        <v>18</v>
      </c>
      <c r="G54" s="16">
        <f>所得計算R8!L19</f>
        <v>430000</v>
      </c>
      <c r="H54" s="13" t="s">
        <v>52</v>
      </c>
      <c r="I54" s="83"/>
      <c r="J54" s="337"/>
      <c r="K54" s="338"/>
      <c r="L54" s="378"/>
      <c r="M54" s="379"/>
      <c r="N54" s="14">
        <f>N36+N41+N46+N50</f>
        <v>960000</v>
      </c>
      <c r="O54" s="92"/>
      <c r="P54" s="6"/>
      <c r="Q54" s="7"/>
      <c r="R54" s="127"/>
      <c r="S54" s="127"/>
      <c r="T54" s="127"/>
      <c r="U54" s="127"/>
      <c r="V54" s="127"/>
      <c r="W54" s="127"/>
      <c r="X54" s="127"/>
      <c r="Y54" s="6"/>
      <c r="Z54" s="6"/>
    </row>
    <row r="55" spans="1:26" s="5" customFormat="1" ht="32.25" customHeight="1" x14ac:dyDescent="0.35">
      <c r="A55" s="83"/>
      <c r="B55" s="93"/>
      <c r="C55" s="93"/>
      <c r="D55" s="75" t="s">
        <v>142</v>
      </c>
      <c r="E55" s="15">
        <f>K8</f>
        <v>0</v>
      </c>
      <c r="F55" s="76" t="s">
        <v>26</v>
      </c>
      <c r="G55" s="77">
        <f>所得計算R8!L20</f>
        <v>430000</v>
      </c>
      <c r="H55" s="13" t="s">
        <v>52</v>
      </c>
      <c r="I55" s="83"/>
      <c r="J55" s="119" t="s">
        <v>59</v>
      </c>
      <c r="K55" s="121" t="str">
        <f>所得計算R8!O19</f>
        <v>７割軽減</v>
      </c>
      <c r="L55" s="123" t="s">
        <v>164</v>
      </c>
      <c r="M55" s="125">
        <f>所得計算R8!O86</f>
        <v>0</v>
      </c>
      <c r="N55" s="83"/>
      <c r="O55" s="92"/>
      <c r="P55" s="6"/>
      <c r="Q55" s="7"/>
      <c r="R55" s="127"/>
      <c r="S55" s="127"/>
      <c r="T55" s="127"/>
      <c r="U55" s="127"/>
      <c r="V55" s="127"/>
      <c r="W55" s="127"/>
      <c r="X55" s="127"/>
      <c r="Y55" s="6"/>
      <c r="Z55" s="6"/>
    </row>
    <row r="56" spans="1:26" s="5" customFormat="1" ht="32.25" customHeight="1" thickBot="1" x14ac:dyDescent="0.4">
      <c r="A56" s="83"/>
      <c r="B56" s="83"/>
      <c r="C56" s="83"/>
      <c r="D56" s="75"/>
      <c r="E56" s="15"/>
      <c r="F56" s="78" t="s">
        <v>27</v>
      </c>
      <c r="G56" s="77">
        <f>所得計算R8!L21</f>
        <v>430000</v>
      </c>
      <c r="H56" s="13" t="s">
        <v>52</v>
      </c>
      <c r="I56" s="83"/>
      <c r="J56" s="120"/>
      <c r="K56" s="122"/>
      <c r="L56" s="124"/>
      <c r="M56" s="126"/>
      <c r="N56" s="83"/>
      <c r="O56" s="92"/>
      <c r="P56" s="6"/>
      <c r="Q56" s="7"/>
      <c r="R56" s="127"/>
      <c r="S56" s="127"/>
      <c r="T56" s="127"/>
      <c r="U56" s="127"/>
      <c r="V56" s="127"/>
      <c r="W56" s="127"/>
      <c r="X56" s="127"/>
      <c r="Y56" s="6"/>
      <c r="Z56" s="6"/>
    </row>
    <row r="57" spans="1:26" s="5" customFormat="1" ht="32.25" customHeight="1" x14ac:dyDescent="0.35">
      <c r="A57" s="97"/>
      <c r="B57" s="353" t="s">
        <v>85</v>
      </c>
      <c r="C57" s="390"/>
      <c r="D57" s="75" t="s">
        <v>84</v>
      </c>
      <c r="E57" s="15">
        <f>COUNTIF(C16:C23,"&lt;=6")</f>
        <v>0</v>
      </c>
      <c r="F57" s="96"/>
      <c r="G57" s="96"/>
      <c r="H57" s="96"/>
      <c r="I57" s="97"/>
      <c r="J57" s="386" t="s">
        <v>165</v>
      </c>
      <c r="K57" s="387"/>
      <c r="L57" s="382">
        <f>所得計算R8!O67</f>
        <v>0</v>
      </c>
      <c r="M57" s="383"/>
      <c r="N57" s="97"/>
      <c r="O57" s="92"/>
      <c r="P57" s="6"/>
      <c r="Q57" s="7"/>
      <c r="R57" s="127"/>
      <c r="S57" s="127"/>
      <c r="T57" s="127"/>
      <c r="U57" s="127"/>
      <c r="V57" s="127"/>
      <c r="W57" s="127"/>
      <c r="X57" s="127"/>
      <c r="Y57" s="6"/>
      <c r="Z57" s="6"/>
    </row>
    <row r="58" spans="1:26" s="5" customFormat="1" ht="32.25" customHeight="1" thickBot="1" x14ac:dyDescent="0.4">
      <c r="A58" s="83"/>
      <c r="B58" s="413" t="s">
        <v>96</v>
      </c>
      <c r="C58" s="414"/>
      <c r="D58" s="75" t="s">
        <v>97</v>
      </c>
      <c r="E58" s="15">
        <f>COUNTIF(C16:C23,"&lt;18")</f>
        <v>0</v>
      </c>
      <c r="F58" s="97"/>
      <c r="G58" s="97"/>
      <c r="H58" s="97"/>
      <c r="I58" s="83"/>
      <c r="J58" s="388"/>
      <c r="K58" s="389"/>
      <c r="L58" s="384"/>
      <c r="M58" s="385"/>
      <c r="N58" s="83"/>
      <c r="O58" s="92"/>
      <c r="P58" s="6"/>
      <c r="Q58" s="7"/>
      <c r="R58" s="127"/>
      <c r="S58" s="127"/>
      <c r="T58" s="127"/>
      <c r="U58" s="127"/>
      <c r="V58" s="127"/>
      <c r="W58" s="127"/>
      <c r="X58" s="127"/>
      <c r="Y58" s="6"/>
      <c r="Z58" s="6"/>
    </row>
    <row r="59" spans="1:26" s="5" customFormat="1" ht="25.5" customHeight="1" x14ac:dyDescent="0.35">
      <c r="A59" s="83"/>
      <c r="B59" s="96"/>
      <c r="C59" s="96"/>
      <c r="D59" s="96"/>
      <c r="E59" s="96"/>
      <c r="F59" s="96"/>
      <c r="G59" s="96"/>
      <c r="H59" s="96"/>
      <c r="I59" s="83"/>
      <c r="J59" s="339" t="s">
        <v>60</v>
      </c>
      <c r="K59" s="339"/>
      <c r="L59" s="341">
        <f>IFERROR(L57/12,"")</f>
        <v>0</v>
      </c>
      <c r="M59" s="341"/>
      <c r="N59" s="83"/>
      <c r="O59" s="92"/>
      <c r="P59" s="6"/>
      <c r="Q59" s="7"/>
      <c r="R59" s="127"/>
      <c r="S59" s="127"/>
      <c r="T59" s="127"/>
      <c r="U59" s="127"/>
      <c r="V59" s="127"/>
      <c r="W59" s="127"/>
      <c r="X59" s="127"/>
      <c r="Y59" s="6"/>
      <c r="Z59" s="6"/>
    </row>
    <row r="60" spans="1:26" s="5" customFormat="1" ht="25.5" customHeight="1" x14ac:dyDescent="0.35">
      <c r="A60" s="83"/>
      <c r="B60" s="342" t="s">
        <v>180</v>
      </c>
      <c r="C60" s="342"/>
      <c r="D60" s="342"/>
      <c r="E60" s="83"/>
      <c r="F60" s="83"/>
      <c r="G60" s="83"/>
      <c r="H60" s="83"/>
      <c r="I60" s="83"/>
      <c r="J60" s="340" t="s">
        <v>58</v>
      </c>
      <c r="K60" s="340"/>
      <c r="L60" s="340"/>
      <c r="M60" s="340"/>
      <c r="N60" s="83"/>
      <c r="O60" s="92"/>
      <c r="P60" s="6"/>
      <c r="Q60" s="7"/>
      <c r="R60" s="127"/>
      <c r="S60" s="127"/>
      <c r="T60" s="127"/>
      <c r="U60" s="127"/>
      <c r="V60" s="127"/>
      <c r="W60" s="127"/>
      <c r="X60" s="127"/>
      <c r="Y60" s="6"/>
      <c r="Z60" s="6"/>
    </row>
    <row r="61" spans="1:26" s="5" customFormat="1" ht="25.5" customHeight="1" thickBot="1" x14ac:dyDescent="0.4">
      <c r="A61" s="112"/>
      <c r="B61" s="111"/>
      <c r="C61" s="111"/>
      <c r="D61" s="111"/>
      <c r="E61" s="112"/>
      <c r="F61" s="112"/>
      <c r="G61" s="112"/>
      <c r="H61" s="112"/>
      <c r="I61" s="112"/>
      <c r="J61" s="110"/>
      <c r="K61" s="110"/>
      <c r="L61" s="110"/>
      <c r="M61" s="110"/>
      <c r="N61" s="112"/>
      <c r="O61" s="92"/>
      <c r="P61" s="6"/>
      <c r="Q61" s="7"/>
      <c r="R61" s="127"/>
      <c r="S61" s="127"/>
      <c r="T61" s="127"/>
      <c r="U61" s="127"/>
      <c r="V61" s="127"/>
      <c r="W61" s="127"/>
      <c r="X61" s="127"/>
      <c r="Y61" s="6"/>
      <c r="Z61" s="6"/>
    </row>
    <row r="62" spans="1:26" s="5" customFormat="1" ht="25.5" customHeight="1" thickBot="1" x14ac:dyDescent="0.4">
      <c r="A62" s="83"/>
      <c r="B62" s="83"/>
      <c r="C62" s="83"/>
      <c r="D62" s="83" t="s">
        <v>61</v>
      </c>
      <c r="E62" s="85" t="s">
        <v>63</v>
      </c>
      <c r="F62" s="83" t="s">
        <v>62</v>
      </c>
      <c r="G62" s="86">
        <f>E8</f>
        <v>12</v>
      </c>
      <c r="H62" s="83" t="s">
        <v>2</v>
      </c>
      <c r="I62" s="333" t="str">
        <f>IF(C16="","",ROUNDDOWN(L57*G62/12,-2))</f>
        <v/>
      </c>
      <c r="J62" s="334"/>
      <c r="K62" s="84" t="s">
        <v>64</v>
      </c>
      <c r="L62" s="83"/>
      <c r="M62" s="83"/>
      <c r="N62" s="83"/>
      <c r="O62" s="92"/>
      <c r="P62" s="6"/>
      <c r="Q62" s="7"/>
      <c r="R62" s="127"/>
      <c r="S62" s="127"/>
      <c r="T62" s="127"/>
      <c r="U62" s="127"/>
      <c r="V62" s="127"/>
      <c r="W62" s="127"/>
      <c r="X62" s="127"/>
      <c r="Y62" s="6"/>
      <c r="Z62" s="6"/>
    </row>
    <row r="63" spans="1:26" s="5" customFormat="1" ht="25.5" customHeight="1" thickBot="1" x14ac:dyDescent="0.4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92"/>
      <c r="P63" s="6"/>
      <c r="Q63" s="7"/>
      <c r="R63" s="127"/>
      <c r="S63" s="127"/>
      <c r="T63" s="127"/>
      <c r="U63" s="127"/>
      <c r="V63" s="127"/>
      <c r="W63" s="127"/>
      <c r="X63" s="127"/>
      <c r="Y63" s="6"/>
    </row>
    <row r="64" spans="1:26" s="5" customFormat="1" ht="25.5" customHeight="1" thickBot="1" x14ac:dyDescent="0.4">
      <c r="A64" s="83"/>
      <c r="B64" s="83"/>
      <c r="C64" s="83"/>
      <c r="D64" s="83"/>
      <c r="E64" s="427" t="s">
        <v>16</v>
      </c>
      <c r="F64" s="427"/>
      <c r="G64" s="87">
        <f>G8</f>
        <v>7</v>
      </c>
      <c r="H64" s="88" t="s">
        <v>5</v>
      </c>
      <c r="I64" s="333" t="str">
        <f>所得計算R8!E90</f>
        <v/>
      </c>
      <c r="J64" s="334"/>
      <c r="K64" s="83"/>
      <c r="L64" s="83"/>
      <c r="M64" s="83"/>
      <c r="N64" s="83"/>
      <c r="O64" s="92"/>
      <c r="P64" s="8"/>
      <c r="Q64" s="138"/>
      <c r="R64" s="132"/>
      <c r="S64" s="132"/>
      <c r="T64" s="132"/>
      <c r="U64" s="127"/>
      <c r="V64" s="127"/>
      <c r="W64" s="127"/>
      <c r="X64" s="127"/>
      <c r="Y64" s="6"/>
    </row>
    <row r="65" spans="1:26" s="5" customFormat="1" ht="25.5" customHeight="1" thickBot="1" x14ac:dyDescent="0.4">
      <c r="A65" s="83"/>
      <c r="B65" s="83"/>
      <c r="C65" s="83"/>
      <c r="D65" s="83"/>
      <c r="E65" s="83"/>
      <c r="F65" s="83"/>
      <c r="G65" s="89">
        <f>IF(G64="3","3",G64+1)</f>
        <v>8</v>
      </c>
      <c r="H65" s="88" t="s">
        <v>24</v>
      </c>
      <c r="I65" s="321" t="str">
        <f>所得計算R8!G90</f>
        <v/>
      </c>
      <c r="J65" s="322"/>
      <c r="K65" s="83"/>
      <c r="L65" s="83"/>
      <c r="M65" s="83"/>
      <c r="N65" s="83"/>
      <c r="O65" s="92"/>
      <c r="P65" s="8"/>
      <c r="Q65" s="138"/>
      <c r="R65" s="132"/>
      <c r="S65" s="132"/>
      <c r="T65" s="132"/>
      <c r="U65" s="127"/>
      <c r="V65" s="127"/>
      <c r="W65" s="127"/>
      <c r="X65" s="127"/>
      <c r="Y65" s="6"/>
    </row>
    <row r="66" spans="1:26" s="5" customFormat="1" ht="25.5" customHeight="1" x14ac:dyDescent="0.3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92"/>
      <c r="P66" s="9"/>
      <c r="Q66" s="139"/>
      <c r="R66" s="132"/>
      <c r="S66" s="132"/>
      <c r="T66" s="132"/>
      <c r="U66" s="127"/>
      <c r="V66" s="127"/>
      <c r="W66" s="127"/>
      <c r="X66" s="127"/>
      <c r="Y66" s="6"/>
    </row>
    <row r="67" spans="1:26" s="5" customFormat="1" ht="16.5" x14ac:dyDescent="0.35">
      <c r="C67" s="6"/>
      <c r="P67" s="6"/>
      <c r="Q67" s="7"/>
      <c r="R67" s="127"/>
      <c r="S67" s="127"/>
      <c r="T67" s="127"/>
      <c r="U67" s="127"/>
      <c r="V67" s="127"/>
      <c r="W67" s="127"/>
      <c r="X67" s="127"/>
      <c r="Y67" s="6"/>
      <c r="Z67" s="6"/>
    </row>
    <row r="68" spans="1:26" s="5" customFormat="1" ht="16.5" x14ac:dyDescent="0.35">
      <c r="C68" s="6"/>
      <c r="P68" s="6"/>
      <c r="Q68" s="7"/>
      <c r="R68" s="127"/>
      <c r="S68" s="127"/>
      <c r="T68" s="127"/>
      <c r="U68" s="127"/>
      <c r="V68" s="127"/>
      <c r="W68" s="127"/>
      <c r="X68" s="127"/>
      <c r="Y68" s="6"/>
      <c r="Z68" s="6"/>
    </row>
    <row r="69" spans="1:26" s="5" customFormat="1" ht="16.5" x14ac:dyDescent="0.35">
      <c r="C69" s="6"/>
      <c r="P69" s="6"/>
      <c r="Q69" s="7"/>
      <c r="R69" s="127"/>
      <c r="S69" s="127"/>
      <c r="T69" s="127"/>
      <c r="U69" s="127"/>
      <c r="V69" s="127"/>
      <c r="W69" s="127"/>
      <c r="X69" s="127"/>
      <c r="Y69" s="6"/>
      <c r="Z69" s="6"/>
    </row>
    <row r="70" spans="1:26" s="5" customFormat="1" ht="16.5" x14ac:dyDescent="0.35">
      <c r="C70" s="6"/>
      <c r="P70" s="6"/>
      <c r="Q70" s="7"/>
      <c r="R70" s="127"/>
      <c r="S70" s="127"/>
      <c r="T70" s="127"/>
      <c r="U70" s="127"/>
      <c r="V70" s="127"/>
      <c r="W70" s="127"/>
      <c r="X70" s="127"/>
      <c r="Y70" s="6"/>
      <c r="Z70" s="6"/>
    </row>
    <row r="71" spans="1:26" x14ac:dyDescent="0.4">
      <c r="P71" s="6"/>
      <c r="Q71" s="7"/>
    </row>
    <row r="72" spans="1:26" x14ac:dyDescent="0.4">
      <c r="P72" s="6"/>
      <c r="Q72" s="7"/>
    </row>
  </sheetData>
  <sheetProtection selectLockedCells="1"/>
  <mergeCells count="114">
    <mergeCell ref="I36:I37"/>
    <mergeCell ref="D41:D42"/>
    <mergeCell ref="B39:C42"/>
    <mergeCell ref="A16:B17"/>
    <mergeCell ref="A18:B19"/>
    <mergeCell ref="E64:F64"/>
    <mergeCell ref="D50:D51"/>
    <mergeCell ref="B48:C51"/>
    <mergeCell ref="J48:K51"/>
    <mergeCell ref="D14:D15"/>
    <mergeCell ref="L53:M54"/>
    <mergeCell ref="A43:C43"/>
    <mergeCell ref="B53:C53"/>
    <mergeCell ref="L57:M58"/>
    <mergeCell ref="J57:K58"/>
    <mergeCell ref="B57:C57"/>
    <mergeCell ref="L44:M45"/>
    <mergeCell ref="L46:M46"/>
    <mergeCell ref="D53:E53"/>
    <mergeCell ref="D44:F44"/>
    <mergeCell ref="G44:I44"/>
    <mergeCell ref="A47:C47"/>
    <mergeCell ref="D48:F48"/>
    <mergeCell ref="G48:I48"/>
    <mergeCell ref="L48:M49"/>
    <mergeCell ref="L50:M51"/>
    <mergeCell ref="I50:I51"/>
    <mergeCell ref="F50:F51"/>
    <mergeCell ref="E50:E51"/>
    <mergeCell ref="B58:C58"/>
    <mergeCell ref="D36:D37"/>
    <mergeCell ref="K36:K37"/>
    <mergeCell ref="J36:J37"/>
    <mergeCell ref="M20:M21"/>
    <mergeCell ref="I22:I23"/>
    <mergeCell ref="J22:J23"/>
    <mergeCell ref="C22:C23"/>
    <mergeCell ref="M22:M23"/>
    <mergeCell ref="L22:L23"/>
    <mergeCell ref="C16:C17"/>
    <mergeCell ref="C18:C19"/>
    <mergeCell ref="C20:C21"/>
    <mergeCell ref="I65:J65"/>
    <mergeCell ref="K22:K23"/>
    <mergeCell ref="J44:K46"/>
    <mergeCell ref="D39:F39"/>
    <mergeCell ref="G39:I39"/>
    <mergeCell ref="I62:J62"/>
    <mergeCell ref="I64:J64"/>
    <mergeCell ref="J53:K54"/>
    <mergeCell ref="J59:K59"/>
    <mergeCell ref="J60:M60"/>
    <mergeCell ref="L59:M59"/>
    <mergeCell ref="B60:D60"/>
    <mergeCell ref="B44:C46"/>
    <mergeCell ref="L39:M40"/>
    <mergeCell ref="A33:C33"/>
    <mergeCell ref="G34:I34"/>
    <mergeCell ref="J34:K34"/>
    <mergeCell ref="M28:N29"/>
    <mergeCell ref="A38:C38"/>
    <mergeCell ref="C28:C29"/>
    <mergeCell ref="L34:M35"/>
    <mergeCell ref="F36:F37"/>
    <mergeCell ref="E36:E37"/>
    <mergeCell ref="N50:N51"/>
    <mergeCell ref="C4:E4"/>
    <mergeCell ref="B2:M2"/>
    <mergeCell ref="B6:D6"/>
    <mergeCell ref="B7:K7"/>
    <mergeCell ref="B10:E10"/>
    <mergeCell ref="K4:M4"/>
    <mergeCell ref="B25:D25"/>
    <mergeCell ref="B11:N13"/>
    <mergeCell ref="A14:B15"/>
    <mergeCell ref="A20:B21"/>
    <mergeCell ref="A22:B23"/>
    <mergeCell ref="M14:M15"/>
    <mergeCell ref="I16:I17"/>
    <mergeCell ref="J16:J17"/>
    <mergeCell ref="J20:J21"/>
    <mergeCell ref="K20:K21"/>
    <mergeCell ref="L20:L21"/>
    <mergeCell ref="N16:N17"/>
    <mergeCell ref="I18:I19"/>
    <mergeCell ref="J18:J19"/>
    <mergeCell ref="K18:K19"/>
    <mergeCell ref="N18:N19"/>
    <mergeCell ref="M16:M17"/>
    <mergeCell ref="M18:M19"/>
    <mergeCell ref="N36:N37"/>
    <mergeCell ref="L36:M37"/>
    <mergeCell ref="K14:K15"/>
    <mergeCell ref="L18:L19"/>
    <mergeCell ref="N41:N42"/>
    <mergeCell ref="L41:M42"/>
    <mergeCell ref="I41:I42"/>
    <mergeCell ref="F41:F42"/>
    <mergeCell ref="J39:K42"/>
    <mergeCell ref="K16:K17"/>
    <mergeCell ref="L16:L17"/>
    <mergeCell ref="G14:G15"/>
    <mergeCell ref="E14:F14"/>
    <mergeCell ref="E41:E42"/>
    <mergeCell ref="H14:H15"/>
    <mergeCell ref="D34:F34"/>
    <mergeCell ref="B32:M32"/>
    <mergeCell ref="B26:I27"/>
    <mergeCell ref="I20:I21"/>
    <mergeCell ref="C14:C15"/>
    <mergeCell ref="L14:L15"/>
    <mergeCell ref="B34:C37"/>
    <mergeCell ref="I14:I15"/>
    <mergeCell ref="J14:J15"/>
  </mergeCells>
  <phoneticPr fontId="2"/>
  <dataValidations count="1">
    <dataValidation type="list" allowBlank="1" showInputMessage="1" showErrorMessage="1" sqref="M16 M18 M20 M22" xr:uid="{00000000-0002-0000-0000-000000000000}">
      <formula1>",有"</formula1>
    </dataValidation>
  </dataValidations>
  <printOptions horizontalCentered="1" verticalCentered="1"/>
  <pageMargins left="0.39370078740157483" right="0.23622047244094491" top="0.19685039370078741" bottom="0.19685039370078741" header="0.23622047244094491" footer="0.15748031496062992"/>
  <pageSetup paperSize="9" scale="60" orientation="landscape" r:id="rId1"/>
  <headerFooter alignWithMargins="0"/>
  <rowBreaks count="1" manualBreakCount="1">
    <brk id="30" max="16383" man="1"/>
  </rowBreaks>
  <ignoredErrors>
    <ignoredError sqref="L18 L20 L22" unlockedFormula="1"/>
  </ignoredErrors>
  <drawing r:id="rId2"/>
  <legacyDrawing r:id="rId3"/>
  <controls>
    <mc:AlternateContent xmlns:mc="http://schemas.openxmlformats.org/markup-compatibility/2006">
      <mc:Choice Requires="x14">
        <control shapeId="1029" r:id="rId4" name="CommandButton1">
          <controlPr defaultSize="0" autoLine="0" r:id="rId5">
            <anchor moveWithCells="1">
              <from>
                <xdr:col>12</xdr:col>
                <xdr:colOff>38100</xdr:colOff>
                <xdr:row>62</xdr:row>
                <xdr:rowOff>0</xdr:rowOff>
              </from>
              <to>
                <xdr:col>13</xdr:col>
                <xdr:colOff>571500</xdr:colOff>
                <xdr:row>64</xdr:row>
                <xdr:rowOff>66675</xdr:rowOff>
              </to>
            </anchor>
          </controlPr>
        </control>
      </mc:Choice>
      <mc:Fallback>
        <control shapeId="1029" r:id="rId4" name="CommandButton1"/>
      </mc:Fallback>
    </mc:AlternateContent>
    <mc:AlternateContent xmlns:mc="http://schemas.openxmlformats.org/markup-compatibility/2006">
      <mc:Choice Requires="x14">
        <control shapeId="1028" r:id="rId6" name="Button 4">
          <controlPr defaultSize="0" print="0" autoFill="0" autoPict="0" macro="[0]!クリア">
            <anchor moveWithCells="1" sizeWithCells="1">
              <from>
                <xdr:col>11</xdr:col>
                <xdr:colOff>552450</xdr:colOff>
                <xdr:row>6</xdr:row>
                <xdr:rowOff>28575</xdr:rowOff>
              </from>
              <to>
                <xdr:col>13</xdr:col>
                <xdr:colOff>219075</xdr:colOff>
                <xdr:row>8</xdr:row>
                <xdr:rowOff>104775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9">
    <tabColor rgb="FFFFFF00"/>
    <pageSetUpPr fitToPage="1"/>
  </sheetPr>
  <dimension ref="A1:V102"/>
  <sheetViews>
    <sheetView zoomScale="85" zoomScaleNormal="85" workbookViewId="0">
      <selection activeCell="F30" sqref="F30"/>
    </sheetView>
  </sheetViews>
  <sheetFormatPr defaultRowHeight="16.5" x14ac:dyDescent="0.15"/>
  <cols>
    <col min="1" max="4" width="13.5" style="155" customWidth="1"/>
    <col min="5" max="5" width="13.5" style="170" customWidth="1"/>
    <col min="6" max="15" width="13.5" style="155" customWidth="1"/>
    <col min="16" max="16" width="13.75" style="155" customWidth="1"/>
    <col min="17" max="18" width="31.5" style="155" bestFit="1" customWidth="1"/>
    <col min="19" max="16384" width="9" style="155"/>
  </cols>
  <sheetData>
    <row r="1" spans="1:22" s="150" customFormat="1" ht="15" customHeight="1" x14ac:dyDescent="0.15">
      <c r="A1" s="148" t="s">
        <v>109</v>
      </c>
      <c r="B1" s="149" t="s">
        <v>116</v>
      </c>
      <c r="C1" s="149"/>
      <c r="D1" s="149"/>
      <c r="E1" s="149"/>
      <c r="F1" s="149"/>
      <c r="I1" s="151" t="s">
        <v>152</v>
      </c>
    </row>
    <row r="2" spans="1:22" ht="15" customHeight="1" x14ac:dyDescent="0.15">
      <c r="C2" s="156" t="s">
        <v>103</v>
      </c>
      <c r="D2" s="157" t="s">
        <v>89</v>
      </c>
      <c r="E2" s="156" t="s">
        <v>90</v>
      </c>
      <c r="F2" s="157" t="s">
        <v>91</v>
      </c>
      <c r="G2" s="156" t="s">
        <v>120</v>
      </c>
      <c r="H2" s="153"/>
      <c r="I2" s="161"/>
      <c r="J2" s="156" t="s">
        <v>88</v>
      </c>
      <c r="K2" s="157" t="s">
        <v>89</v>
      </c>
      <c r="L2" s="156" t="s">
        <v>90</v>
      </c>
      <c r="M2" s="157" t="s">
        <v>91</v>
      </c>
    </row>
    <row r="3" spans="1:22" ht="15" customHeight="1" x14ac:dyDescent="0.15">
      <c r="B3" s="159" t="s">
        <v>109</v>
      </c>
      <c r="C3" s="160">
        <f>試算シミュレーション!D16</f>
        <v>0</v>
      </c>
      <c r="D3" s="160">
        <f>試算シミュレーション!D18</f>
        <v>0</v>
      </c>
      <c r="E3" s="160">
        <f>試算シミュレーション!D20</f>
        <v>0</v>
      </c>
      <c r="F3" s="160">
        <f>試算シミュレーション!D22</f>
        <v>0</v>
      </c>
      <c r="G3" s="160">
        <f>試算シミュレーション!D29</f>
        <v>0</v>
      </c>
      <c r="H3" s="153"/>
      <c r="I3" s="187" t="s">
        <v>149</v>
      </c>
      <c r="J3" s="161" t="str">
        <f>IF(試算シミュレーション!C16="","",試算シミュレーション!C16)</f>
        <v/>
      </c>
      <c r="K3" s="161" t="str">
        <f>IF(試算シミュレーション!C18="","",試算シミュレーション!C18)</f>
        <v/>
      </c>
      <c r="L3" s="161" t="str">
        <f>IF(試算シミュレーション!C20="","",試算シミュレーション!C20)</f>
        <v/>
      </c>
      <c r="M3" s="161" t="str">
        <f>IF(試算シミュレーション!C22="","",試算シミュレーション!C22)</f>
        <v/>
      </c>
    </row>
    <row r="4" spans="1:22" ht="15" customHeight="1" x14ac:dyDescent="0.15">
      <c r="B4" s="159"/>
      <c r="C4" s="160">
        <f>IF(C3&lt;=$B$9,(MAX(C3-$C$9,)),IF(AND($A$10&lt;=C3,$B$10&gt;=C3),$C$10,IF(AND($A$11&lt;=C3,$B$11&gt;=C3),$C$11,IF(AND($A$12&lt;=C3,$B$12&gt;=C3),$C$12,C3-$C$13))))</f>
        <v>0</v>
      </c>
      <c r="D4" s="160">
        <f>IF(D3&lt;=$B$9,(MAX(D3-$D$9,)),IF(AND($A$10&lt;=D3,$B$10&gt;=D3),$D$10,IF(AND($A$11&lt;=D3,$B$11&gt;=D3),$D$11,IF(AND($A$12&lt;=D3,$B$12&gt;=D3),$D$12,D3-$D$13))))</f>
        <v>0</v>
      </c>
      <c r="E4" s="160">
        <f>IF(E3&lt;=$B$9,(MAX(E3-$E$9,)),IF(AND($A$10&lt;=E3,$B$10&gt;=E3),$E$10,IF(AND($A$11&lt;=E3,$B$11&gt;=E3),$E$11,IF(AND($A$12&lt;=E3,$B$12&gt;=E3),$E$12,E3-$E$13))))</f>
        <v>0</v>
      </c>
      <c r="F4" s="160">
        <f>IF(F3&lt;=$B$9,(MAX(F3-$F$9,)),IF(AND($A$10&lt;=F3,$B$10&gt;=F3),$F$10,IF(AND($A$11&lt;=F3,$B$11&gt;=F3),$F$11,IF(AND($A$12&lt;=F3,$B$12&gt;=F3),$F$12,F3-$F$13))))</f>
        <v>0</v>
      </c>
      <c r="G4" s="160">
        <f>IF(G3&lt;=$B$9,(MAX(G3-$G$9,)),IF(AND($A$10&lt;=G3,$B$10&gt;=G3),$G$10,IF(AND($A$11&lt;=G3,$B$11&gt;=G3),$G$11,IF(AND($A$12&lt;=G3,$B$12&gt;=G3),$G$12,G3-$G$13))))</f>
        <v>0</v>
      </c>
      <c r="H4" s="153"/>
      <c r="I4" s="188" t="s">
        <v>150</v>
      </c>
      <c r="J4" s="161" t="str">
        <f>IF(J3="","",試算シミュレーション!K16)</f>
        <v/>
      </c>
      <c r="K4" s="161" t="str">
        <f>IF(K3="","",試算シミュレーション!K18)</f>
        <v/>
      </c>
      <c r="L4" s="161" t="str">
        <f>IF(L3="","",試算シミュレーション!K20)</f>
        <v/>
      </c>
      <c r="M4" s="161" t="str">
        <f>IF(M3="","",試算シミュレーション!K22)</f>
        <v/>
      </c>
    </row>
    <row r="5" spans="1:22" ht="15" customHeight="1" x14ac:dyDescent="0.15">
      <c r="B5" s="159" t="s">
        <v>117</v>
      </c>
      <c r="C5" s="160">
        <f>C4*30%</f>
        <v>0</v>
      </c>
      <c r="D5" s="160">
        <f>D4*30%</f>
        <v>0</v>
      </c>
      <c r="E5" s="160">
        <f>E4*30%</f>
        <v>0</v>
      </c>
      <c r="F5" s="160">
        <f>F4*30%</f>
        <v>0</v>
      </c>
      <c r="G5" s="160">
        <f>G4*30%</f>
        <v>0</v>
      </c>
      <c r="H5" s="153"/>
      <c r="I5" s="188" t="s">
        <v>151</v>
      </c>
      <c r="J5" s="161" t="str">
        <f>試算シミュレーション!L16</f>
        <v/>
      </c>
      <c r="K5" s="161" t="str">
        <f>試算シミュレーション!L18</f>
        <v/>
      </c>
      <c r="L5" s="161" t="str">
        <f>試算シミュレーション!L20</f>
        <v/>
      </c>
      <c r="M5" s="161" t="str">
        <f>試算シミュレーション!L22</f>
        <v/>
      </c>
    </row>
    <row r="6" spans="1:22" ht="15" customHeight="1" x14ac:dyDescent="0.15">
      <c r="A6" s="163"/>
      <c r="B6" s="164"/>
      <c r="C6" s="164"/>
      <c r="D6" s="164"/>
      <c r="E6" s="164"/>
      <c r="F6" s="164"/>
      <c r="G6" s="149"/>
      <c r="H6" s="153"/>
      <c r="I6" s="186" t="s">
        <v>143</v>
      </c>
      <c r="J6" s="161" t="str">
        <f>IF(J3&lt;18,1,"")</f>
        <v/>
      </c>
      <c r="K6" s="161" t="str">
        <f t="shared" ref="K6:M6" si="0">IF(K3&lt;18,1,"")</f>
        <v/>
      </c>
      <c r="L6" s="161" t="str">
        <f t="shared" si="0"/>
        <v/>
      </c>
      <c r="M6" s="161" t="str">
        <f t="shared" si="0"/>
        <v/>
      </c>
    </row>
    <row r="7" spans="1:22" ht="15" customHeight="1" x14ac:dyDescent="0.15">
      <c r="A7" s="148" t="s">
        <v>104</v>
      </c>
      <c r="B7" s="149"/>
      <c r="C7" s="149"/>
      <c r="D7" s="149"/>
      <c r="E7" s="149"/>
      <c r="F7" s="149"/>
      <c r="G7" s="149"/>
      <c r="H7" s="153"/>
      <c r="I7" s="186" t="s">
        <v>139</v>
      </c>
      <c r="J7" s="161" t="str">
        <f>IF(J3&lt;=6,1,"")</f>
        <v/>
      </c>
      <c r="K7" s="161" t="str">
        <f t="shared" ref="K7:M7" si="1">IF(K3&lt;=6,1,"")</f>
        <v/>
      </c>
      <c r="L7" s="161" t="str">
        <f t="shared" si="1"/>
        <v/>
      </c>
      <c r="M7" s="161" t="str">
        <f t="shared" si="1"/>
        <v/>
      </c>
    </row>
    <row r="8" spans="1:22" ht="15" customHeight="1" x14ac:dyDescent="0.15">
      <c r="A8" s="166" t="s">
        <v>100</v>
      </c>
      <c r="B8" s="166" t="s">
        <v>101</v>
      </c>
      <c r="C8" s="167" t="s">
        <v>102</v>
      </c>
      <c r="D8" s="168" t="s">
        <v>50</v>
      </c>
      <c r="E8" s="167" t="s">
        <v>50</v>
      </c>
      <c r="F8" s="168" t="s">
        <v>50</v>
      </c>
      <c r="G8" s="167" t="s">
        <v>50</v>
      </c>
      <c r="H8" s="153"/>
      <c r="I8" s="158" t="s">
        <v>154</v>
      </c>
      <c r="J8" s="158" t="str">
        <f>IF(J3="","",IF(J5=1,"介護あり",IF(AND(J6=1,J7=""),"18歳未満",IF(J7=1,"未就学児","介護なし"))))</f>
        <v/>
      </c>
      <c r="K8" s="158" t="str">
        <f t="shared" ref="K8:M8" si="2">IF(K3="","",IF(K5=1,"介護あり",IF(AND(K6=1,K7=""),"18歳未満",IF(K7=1,"未就学児","介護なし"))))</f>
        <v/>
      </c>
      <c r="L8" s="158" t="str">
        <f t="shared" si="2"/>
        <v/>
      </c>
      <c r="M8" s="158" t="str">
        <f t="shared" si="2"/>
        <v/>
      </c>
    </row>
    <row r="9" spans="1:22" ht="15" customHeight="1" x14ac:dyDescent="0.15">
      <c r="A9" s="169">
        <v>0</v>
      </c>
      <c r="B9" s="169">
        <v>1900000</v>
      </c>
      <c r="C9" s="149">
        <v>650000</v>
      </c>
      <c r="D9" s="149">
        <v>650000</v>
      </c>
      <c r="E9" s="149">
        <v>650000</v>
      </c>
      <c r="F9" s="149">
        <v>650000</v>
      </c>
      <c r="G9" s="149">
        <v>650000</v>
      </c>
      <c r="H9" s="153"/>
    </row>
    <row r="10" spans="1:22" ht="15" customHeight="1" x14ac:dyDescent="0.15">
      <c r="A10" s="169">
        <v>1900001</v>
      </c>
      <c r="B10" s="169">
        <v>3600000</v>
      </c>
      <c r="C10" s="149">
        <f>ROUNDDOWN($C$3/4,-3)*4*70%-80000</f>
        <v>-80000</v>
      </c>
      <c r="D10" s="149">
        <f>ROUNDDOWN($D$3/4,-3)*4*70%-80000</f>
        <v>-80000</v>
      </c>
      <c r="E10" s="149">
        <f>ROUNDDOWN($E$3/4,-3)*4*70%-80000</f>
        <v>-80000</v>
      </c>
      <c r="F10" s="149">
        <f>ROUNDDOWN($F$3/4,-3)*4*70%-80000</f>
        <v>-80000</v>
      </c>
      <c r="G10" s="149">
        <f>ROUNDDOWN($G$3/4,-3)*4*70%-80000</f>
        <v>-80000</v>
      </c>
      <c r="H10" s="153"/>
      <c r="I10" s="151" t="s">
        <v>86</v>
      </c>
      <c r="J10" s="152"/>
      <c r="K10" s="152"/>
      <c r="L10" s="150"/>
      <c r="M10" s="150"/>
      <c r="N10" s="153" t="s">
        <v>122</v>
      </c>
      <c r="O10" s="154">
        <f>試算シミュレーション!I8</f>
        <v>0</v>
      </c>
    </row>
    <row r="11" spans="1:22" ht="15" customHeight="1" x14ac:dyDescent="0.15">
      <c r="A11" s="169">
        <v>3600001</v>
      </c>
      <c r="B11" s="169">
        <v>6600000</v>
      </c>
      <c r="C11" s="149">
        <f>ROUNDDOWN($C$3/4,-3)*4*80%-440000</f>
        <v>-440000</v>
      </c>
      <c r="D11" s="149">
        <f>ROUNDDOWN($D$3/4,-3)*4*80%-440000</f>
        <v>-440000</v>
      </c>
      <c r="E11" s="149">
        <f>ROUNDDOWN($E$3/4,-3)*4*80%-440000</f>
        <v>-440000</v>
      </c>
      <c r="F11" s="149">
        <f>ROUNDDOWN($F$3/4,-3)*4*80%-440000</f>
        <v>-440000</v>
      </c>
      <c r="G11" s="149">
        <f>ROUNDDOWN($G$3/4,-3)*4*80%-440000</f>
        <v>-440000</v>
      </c>
      <c r="H11" s="153"/>
      <c r="I11" s="153"/>
      <c r="J11" s="156" t="s">
        <v>88</v>
      </c>
      <c r="K11" s="157" t="s">
        <v>89</v>
      </c>
      <c r="L11" s="156" t="s">
        <v>90</v>
      </c>
      <c r="M11" s="157" t="s">
        <v>91</v>
      </c>
      <c r="N11" s="156" t="s">
        <v>120</v>
      </c>
      <c r="O11" s="158" t="s">
        <v>123</v>
      </c>
    </row>
    <row r="12" spans="1:22" ht="15" customHeight="1" x14ac:dyDescent="0.15">
      <c r="A12" s="169">
        <v>6600001</v>
      </c>
      <c r="B12" s="169">
        <v>8500000</v>
      </c>
      <c r="C12" s="149">
        <f>ROUNDDOWN($C$3*90%,0)-1100000</f>
        <v>-1100000</v>
      </c>
      <c r="D12" s="149">
        <f>ROUNDDOWN($D$3*90%,0)-1100000</f>
        <v>-1100000</v>
      </c>
      <c r="E12" s="149">
        <f>ROUNDDOWN($E$3*90%,0)-1100000</f>
        <v>-1100000</v>
      </c>
      <c r="F12" s="149">
        <f>ROUNDDOWN($F$3*90%,0)-1100000</f>
        <v>-1100000</v>
      </c>
      <c r="G12" s="149">
        <f>ROUNDDOWN($G$3*90%,0)-1100000</f>
        <v>-1100000</v>
      </c>
      <c r="H12" s="153"/>
      <c r="I12" s="153" t="s">
        <v>118</v>
      </c>
      <c r="J12" s="161" t="str">
        <f>IF(C4+C19+C21=0,"",1)</f>
        <v/>
      </c>
      <c r="K12" s="161" t="str">
        <f>IF(D4+D19+D21=0,"",1)</f>
        <v/>
      </c>
      <c r="L12" s="161" t="str">
        <f>IF(E4+E19+E21=0,"",1)</f>
        <v/>
      </c>
      <c r="M12" s="161" t="str">
        <f>IF(F4+F19+F21=0,"",1)</f>
        <v/>
      </c>
      <c r="N12" s="161" t="str">
        <f>IF(G4+G19+G21=0,"",1)</f>
        <v/>
      </c>
      <c r="O12" s="158">
        <f>SUM(J12:N12)</f>
        <v>0</v>
      </c>
    </row>
    <row r="13" spans="1:22" ht="15" customHeight="1" x14ac:dyDescent="0.15">
      <c r="A13" s="169">
        <v>8500001</v>
      </c>
      <c r="B13" s="169"/>
      <c r="C13" s="149">
        <v>1950000</v>
      </c>
      <c r="D13" s="149">
        <v>1950000</v>
      </c>
      <c r="E13" s="149">
        <v>1950000</v>
      </c>
      <c r="F13" s="149">
        <v>1950000</v>
      </c>
      <c r="G13" s="149">
        <v>1950000</v>
      </c>
      <c r="H13" s="153"/>
      <c r="J13" s="162"/>
      <c r="K13" s="162"/>
      <c r="L13" s="162" t="str">
        <f>IF(E21&gt;=1,"",150000)</f>
        <v/>
      </c>
      <c r="M13" s="162" t="str">
        <f>IF(F21&gt;=1,"",150000)</f>
        <v/>
      </c>
      <c r="N13" s="162" t="str">
        <f>IF(G21&gt;=1,"",150000)</f>
        <v/>
      </c>
    </row>
    <row r="14" spans="1:22" ht="15" customHeight="1" x14ac:dyDescent="0.15">
      <c r="A14" s="163"/>
      <c r="B14" s="164"/>
      <c r="C14" s="164"/>
      <c r="D14" s="164"/>
      <c r="E14" s="164"/>
      <c r="F14" s="164"/>
      <c r="G14" s="164"/>
      <c r="H14" s="164"/>
      <c r="I14" s="153"/>
      <c r="J14" s="156" t="s">
        <v>88</v>
      </c>
      <c r="K14" s="157" t="s">
        <v>89</v>
      </c>
      <c r="L14" s="156" t="s">
        <v>90</v>
      </c>
      <c r="M14" s="157" t="s">
        <v>91</v>
      </c>
      <c r="N14" s="156" t="s">
        <v>120</v>
      </c>
      <c r="O14" s="158" t="s">
        <v>123</v>
      </c>
      <c r="U14" s="154"/>
      <c r="V14" s="154"/>
    </row>
    <row r="15" spans="1:22" ht="15" customHeight="1" x14ac:dyDescent="0.15">
      <c r="E15" s="155"/>
      <c r="H15" s="149"/>
      <c r="I15" s="155" t="s">
        <v>119</v>
      </c>
      <c r="J15" s="165">
        <f>IF(C20&gt;=110000,150000,0)</f>
        <v>0</v>
      </c>
      <c r="K15" s="165">
        <f>IF(D20&gt;=110000,150000,0)</f>
        <v>0</v>
      </c>
      <c r="L15" s="165">
        <f>IF(E20&gt;=110000,150000,0)</f>
        <v>0</v>
      </c>
      <c r="M15" s="165">
        <f>IF(F20&gt;=110000,150000,0)</f>
        <v>0</v>
      </c>
      <c r="N15" s="165">
        <f>IF(G20&gt;=110000,150000,0)</f>
        <v>0</v>
      </c>
      <c r="O15" s="161"/>
    </row>
    <row r="16" spans="1:22" ht="15" customHeight="1" x14ac:dyDescent="0.15">
      <c r="A16" s="168" t="s">
        <v>110</v>
      </c>
      <c r="B16" s="155" t="s">
        <v>115</v>
      </c>
      <c r="E16" s="155"/>
      <c r="H16" s="149"/>
      <c r="I16" s="153" t="s">
        <v>121</v>
      </c>
      <c r="J16" s="165">
        <f>試算シミュレーション!I16-J15</f>
        <v>0</v>
      </c>
      <c r="K16" s="165">
        <f>試算シミュレーション!I18-K15</f>
        <v>0</v>
      </c>
      <c r="L16" s="165">
        <f>試算シミュレーション!I20-L15</f>
        <v>0</v>
      </c>
      <c r="M16" s="165">
        <f>試算シミュレーション!I22-M15</f>
        <v>0</v>
      </c>
      <c r="N16" s="165">
        <f>試算シミュレーション!K29-N15</f>
        <v>0</v>
      </c>
      <c r="O16" s="165">
        <f>SUM(J16:N16)</f>
        <v>0</v>
      </c>
    </row>
    <row r="17" spans="1:15" s="150" customFormat="1" ht="15" customHeight="1" x14ac:dyDescent="0.15">
      <c r="A17" s="149"/>
      <c r="C17" s="156" t="s">
        <v>88</v>
      </c>
      <c r="D17" s="157" t="s">
        <v>89</v>
      </c>
      <c r="E17" s="156" t="s">
        <v>90</v>
      </c>
      <c r="F17" s="157" t="s">
        <v>91</v>
      </c>
      <c r="G17" s="156" t="s">
        <v>120</v>
      </c>
      <c r="H17" s="172"/>
      <c r="I17" s="153"/>
      <c r="J17" s="155"/>
      <c r="K17" s="155"/>
      <c r="L17" s="155"/>
      <c r="M17" s="155"/>
      <c r="N17" s="155"/>
      <c r="O17" s="155"/>
    </row>
    <row r="18" spans="1:15" ht="15" customHeight="1" x14ac:dyDescent="0.15">
      <c r="B18" s="154" t="s">
        <v>111</v>
      </c>
      <c r="C18" s="165">
        <f>試算シミュレーション!E16</f>
        <v>0</v>
      </c>
      <c r="D18" s="165">
        <f>試算シミュレーション!E18</f>
        <v>0</v>
      </c>
      <c r="E18" s="165">
        <f>試算シミュレーション!E20</f>
        <v>0</v>
      </c>
      <c r="F18" s="160">
        <f>試算シミュレーション!E22</f>
        <v>0</v>
      </c>
      <c r="G18" s="160">
        <f>試算シミュレーション!F29</f>
        <v>0</v>
      </c>
      <c r="H18" s="153"/>
      <c r="I18" s="160"/>
      <c r="J18" s="158" t="s">
        <v>128</v>
      </c>
      <c r="K18" s="215" t="s">
        <v>129</v>
      </c>
      <c r="L18" s="158" t="s">
        <v>130</v>
      </c>
    </row>
    <row r="19" spans="1:15" ht="15" customHeight="1" x14ac:dyDescent="0.15">
      <c r="B19" s="154"/>
      <c r="C19" s="173" t="str">
        <f>IF(C18&lt;=$B$25,"0",IF(AND($A$26&lt;=C18,$B$26&gt;=C18),$C$26,IF(AND($A$27&lt;=C18,$B$27&gt;=C18),$C$27,IF(AND($A$28&lt;=C18,$B$28&gt;=C18),$C$28,IF(AND($A$29&lt;=C18,$B$29&gt;=C18),$C$29,$C$30)))))</f>
        <v>0</v>
      </c>
      <c r="D19" s="173" t="str">
        <f>IF(D18&lt;=$B$25,"0",IF(AND($A$26&lt;=D18,$B$26&gt;=D18),$D$26,IF(AND($A$27&lt;=D18,$B$27&gt;=D18),$D$27,IF(AND($A$28&lt;=D18,$B$28&gt;=D18),$D$28,IF(AND($A$29&lt;=D18,$B$29&gt;=D18),$D$29,$D$30)))))</f>
        <v>0</v>
      </c>
      <c r="E19" s="173" t="str">
        <f>IF(E18&lt;=$B$25,"0",IF(AND($A$26&lt;=E18,$B$26&gt;=E18),$E$26,IF(AND($A$27&lt;=E18,$B$27&gt;=E18),$E$27,IF(AND($A$28&lt;=E18,$B$28&gt;=E18),$E$28,IF(AND($A$29&lt;=E18,$B$29&gt;=E18),$E$29,$E$30)))))</f>
        <v>0</v>
      </c>
      <c r="F19" s="173" t="str">
        <f>IF(F18&lt;=$B$25,"0",IF(AND($A$26&lt;=F18,$B$26&gt;=F18),$F$26,IF(AND($A$27&lt;=F18,$B$27&gt;=F18),$F$27,IF(AND($A$28&lt;=F18,$B$28&gt;=F18),$F$28,IF(AND($A$29&lt;=F18,$B$29&gt;=F18),$F$29,$F$30)))))</f>
        <v>0</v>
      </c>
      <c r="G19" s="173" t="str">
        <f>IF(G18&lt;=$B$25,"0",IF(AND($A$26&lt;=G18,$B$26&gt;=G18),$G$26,IF(AND($A$27&lt;=G18,$B$27&gt;=G18),$G$27,IF(AND($A$28&lt;=G18,$B$28&gt;=G18),$G$28,IF(AND($A$29&lt;=G18,$B$29&gt;=G18),$G$29,$G$30)))))</f>
        <v>0</v>
      </c>
      <c r="H19" s="153"/>
      <c r="I19" s="160" t="s">
        <v>125</v>
      </c>
      <c r="J19" s="165">
        <v>430000</v>
      </c>
      <c r="K19" s="216"/>
      <c r="L19" s="161">
        <f>J19+100000*IF((O12-1)&gt;=0,(O12-1),0)</f>
        <v>430000</v>
      </c>
      <c r="N19" s="171" t="s">
        <v>124</v>
      </c>
      <c r="O19" s="154" t="str">
        <f>IF(O16&lt;=L19,"７割軽減",IF(AND(L19&lt;O16,O16&lt;=L20),"５割軽減",IF(AND(L20&lt;O16,O16&lt;=L21),"２割軽減","軽減なし")))</f>
        <v>７割軽減</v>
      </c>
    </row>
    <row r="20" spans="1:15" ht="15" customHeight="1" x14ac:dyDescent="0.15">
      <c r="B20" s="154" t="s">
        <v>112</v>
      </c>
      <c r="C20" s="165">
        <f>試算シミュレーション!F16</f>
        <v>0</v>
      </c>
      <c r="D20" s="165">
        <f>試算シミュレーション!F18</f>
        <v>0</v>
      </c>
      <c r="E20" s="160">
        <f>試算シミュレーション!F20</f>
        <v>0</v>
      </c>
      <c r="F20" s="160">
        <f>試算シミュレーション!F22</f>
        <v>0</v>
      </c>
      <c r="G20" s="160">
        <f>試算シミュレーション!H29</f>
        <v>0</v>
      </c>
      <c r="H20" s="153"/>
      <c r="I20" s="160" t="s">
        <v>126</v>
      </c>
      <c r="J20" s="165">
        <v>430000</v>
      </c>
      <c r="K20" s="216">
        <v>310000</v>
      </c>
      <c r="L20" s="165">
        <f>J20+100000*IF((O12-1)&gt;=0,(O12-1),0)+K20*O10</f>
        <v>430000</v>
      </c>
    </row>
    <row r="21" spans="1:15" ht="15" customHeight="1" x14ac:dyDescent="0.15">
      <c r="B21" s="154"/>
      <c r="C21" s="174" t="str">
        <f>IF(C20&lt;=$B$34,"0",IF(AND($A$35&lt;=C20,$B$35&gt;=C20),$C$35,IF(AND($A$36&lt;=C20,$B$36&gt;=C20),$C$36,IF(AND($A$37&lt;=C20,$B$37&gt;=C20),$C$37,IF(AND($A$38&lt;=C20,$B$38&gt;=C20),$C$38,$C$39)))))</f>
        <v>0</v>
      </c>
      <c r="D21" s="174" t="str">
        <f>IF(D20&lt;=$B$34,"0",IF(AND($A$35&lt;=D20,$B$35&gt;=D20),$D$35,IF(AND($A$36&lt;=D20,$B$36&gt;=D20),$D$36,IF(AND($A$37&lt;=D20,$B$37&gt;=D20),$D$37,IF(AND($A$38&lt;=D20,$B$38&gt;=D20),$D$38,$D$39)))))</f>
        <v>0</v>
      </c>
      <c r="E21" s="173" t="str">
        <f>IF(E20&lt;=$B$34,"0",IF(AND($A$35&lt;=E20,$B$35&gt;=E20),$E$35,IF(AND($A$36&lt;=E20,$B$36&gt;=E20),$E$36,IF(AND($A$37&lt;=E20,$B$37&gt;=E20),$E$37,IF(AND($A$38&lt;=E20,$B$38&gt;=E20),$E$38,$E$39)))))</f>
        <v>0</v>
      </c>
      <c r="F21" s="173" t="str">
        <f>IF(F20&lt;=$B$34,"0",IF(AND($A$35&lt;=F20,$B$35&gt;=F20),$F$35,IF(AND($A$36&lt;=F20,$B$36&gt;=F20),$F$36,IF(AND($A$37&lt;=F20,$B$37&gt;=F20),$F$37,IF(AND($A$38&lt;=F20,$B$38&gt;=F20),$F$38,$F$39)))))</f>
        <v>0</v>
      </c>
      <c r="G21" s="173" t="str">
        <f>IF(G20&lt;=$B$34,"0",IF(AND($A$35&lt;=G20,$B$35&gt;=G20),$G$35,IF(AND($A$36&lt;=G20,$B$36&gt;=G20),$G$36,IF(AND($A$37&lt;=G20,$B$37&gt;=G20),$G$37,IF(AND($A$38&lt;=G20,$B$38&gt;=G20),$G$38,$G$39)))))</f>
        <v>0</v>
      </c>
      <c r="H21" s="153"/>
      <c r="I21" s="160" t="s">
        <v>127</v>
      </c>
      <c r="J21" s="165">
        <v>430000</v>
      </c>
      <c r="K21" s="216">
        <v>570000</v>
      </c>
      <c r="L21" s="165">
        <f>J21+100000*IF((O12-1)&gt;=0,(O12-1),0)+K21*O10</f>
        <v>430000</v>
      </c>
    </row>
    <row r="22" spans="1:15" ht="15" customHeight="1" x14ac:dyDescent="0.15">
      <c r="E22" s="149"/>
      <c r="F22" s="149"/>
      <c r="G22" s="149"/>
      <c r="H22" s="153"/>
      <c r="I22" s="149"/>
      <c r="J22" s="152"/>
      <c r="K22" s="164"/>
      <c r="L22" s="152"/>
      <c r="M22" s="152"/>
    </row>
    <row r="23" spans="1:15" ht="15" customHeight="1" x14ac:dyDescent="0.15">
      <c r="A23" s="148" t="s">
        <v>6</v>
      </c>
      <c r="B23" s="149" t="s">
        <v>108</v>
      </c>
      <c r="C23" s="149" t="s">
        <v>114</v>
      </c>
      <c r="D23" s="149"/>
      <c r="E23" s="149"/>
      <c r="F23" s="149"/>
      <c r="G23" s="149"/>
      <c r="H23" s="149"/>
      <c r="I23" s="151" t="s">
        <v>14</v>
      </c>
    </row>
    <row r="24" spans="1:15" ht="15" customHeight="1" x14ac:dyDescent="0.15">
      <c r="A24" s="166" t="s">
        <v>105</v>
      </c>
      <c r="B24" s="166" t="s">
        <v>106</v>
      </c>
      <c r="C24" s="167" t="s">
        <v>107</v>
      </c>
      <c r="D24" s="168" t="s">
        <v>107</v>
      </c>
      <c r="E24" s="167" t="s">
        <v>107</v>
      </c>
      <c r="F24" s="168" t="s">
        <v>107</v>
      </c>
      <c r="G24" s="167" t="s">
        <v>107</v>
      </c>
      <c r="H24" s="149"/>
      <c r="I24" s="161" t="s">
        <v>147</v>
      </c>
      <c r="J24" s="161">
        <f>E47+H47+K47+N47</f>
        <v>1130000</v>
      </c>
    </row>
    <row r="25" spans="1:15" ht="15" customHeight="1" x14ac:dyDescent="0.15">
      <c r="A25" s="169">
        <v>0</v>
      </c>
      <c r="B25" s="169">
        <f>A26-1</f>
        <v>600000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  <c r="H25" s="149"/>
      <c r="I25" s="161" t="s">
        <v>145</v>
      </c>
      <c r="J25" s="161">
        <f>E47+H47+N47</f>
        <v>960000</v>
      </c>
    </row>
    <row r="26" spans="1:15" ht="15" customHeight="1" x14ac:dyDescent="0.15">
      <c r="A26" s="169">
        <v>600001</v>
      </c>
      <c r="B26" s="169">
        <f>A27-1</f>
        <v>1299999</v>
      </c>
      <c r="C26" s="149">
        <f>C$18-600000</f>
        <v>-600000</v>
      </c>
      <c r="D26" s="149">
        <f t="shared" ref="D26:G26" si="3">D$18-600000</f>
        <v>-600000</v>
      </c>
      <c r="E26" s="149">
        <f t="shared" si="3"/>
        <v>-600000</v>
      </c>
      <c r="F26" s="149">
        <f t="shared" si="3"/>
        <v>-600000</v>
      </c>
      <c r="G26" s="149">
        <f t="shared" si="3"/>
        <v>-600000</v>
      </c>
      <c r="H26" s="149"/>
    </row>
    <row r="27" spans="1:15" ht="15" customHeight="1" x14ac:dyDescent="0.15">
      <c r="A27" s="169">
        <v>1300000</v>
      </c>
      <c r="B27" s="169">
        <f>A28-1</f>
        <v>4099999</v>
      </c>
      <c r="C27" s="149">
        <f>C$18*0.75-275000</f>
        <v>-275000</v>
      </c>
      <c r="D27" s="149">
        <f t="shared" ref="D27:G27" si="4">D$18*0.75-275000</f>
        <v>-275000</v>
      </c>
      <c r="E27" s="149">
        <f t="shared" si="4"/>
        <v>-275000</v>
      </c>
      <c r="F27" s="149">
        <f t="shared" si="4"/>
        <v>-275000</v>
      </c>
      <c r="G27" s="149">
        <f t="shared" si="4"/>
        <v>-275000</v>
      </c>
      <c r="H27" s="149"/>
    </row>
    <row r="28" spans="1:15" ht="15" customHeight="1" x14ac:dyDescent="0.15">
      <c r="A28" s="169">
        <v>4100000</v>
      </c>
      <c r="B28" s="169">
        <f>A29-1</f>
        <v>7699999</v>
      </c>
      <c r="C28" s="149">
        <f>C$18*0.85-685000</f>
        <v>-685000</v>
      </c>
      <c r="D28" s="149">
        <f t="shared" ref="D28:G28" si="5">D$18*0.85-685000</f>
        <v>-685000</v>
      </c>
      <c r="E28" s="149">
        <f t="shared" si="5"/>
        <v>-685000</v>
      </c>
      <c r="F28" s="149">
        <f t="shared" si="5"/>
        <v>-685000</v>
      </c>
      <c r="G28" s="149">
        <f t="shared" si="5"/>
        <v>-685000</v>
      </c>
      <c r="H28" s="149"/>
    </row>
    <row r="29" spans="1:15" ht="15" customHeight="1" x14ac:dyDescent="0.15">
      <c r="A29" s="169">
        <v>7700000</v>
      </c>
      <c r="B29" s="169">
        <f>A30-1</f>
        <v>9999999</v>
      </c>
      <c r="C29" s="149">
        <f>C$18*0.95-1455000</f>
        <v>-1455000</v>
      </c>
      <c r="D29" s="149">
        <f t="shared" ref="D29:G29" si="6">D$18*0.95-1455000</f>
        <v>-1455000</v>
      </c>
      <c r="E29" s="149">
        <f t="shared" si="6"/>
        <v>-1455000</v>
      </c>
      <c r="F29" s="149">
        <f t="shared" si="6"/>
        <v>-1455000</v>
      </c>
      <c r="G29" s="149">
        <f t="shared" si="6"/>
        <v>-1455000</v>
      </c>
      <c r="H29" s="149"/>
    </row>
    <row r="30" spans="1:15" ht="15" customHeight="1" x14ac:dyDescent="0.15">
      <c r="A30" s="169">
        <v>10000000</v>
      </c>
      <c r="B30" s="169"/>
      <c r="C30" s="149">
        <f>C$18-1955000</f>
        <v>-1955000</v>
      </c>
      <c r="D30" s="149">
        <f t="shared" ref="D30:G30" si="7">D$18-1955000</f>
        <v>-1955000</v>
      </c>
      <c r="E30" s="149">
        <f t="shared" si="7"/>
        <v>-1955000</v>
      </c>
      <c r="F30" s="149">
        <f t="shared" si="7"/>
        <v>-1955000</v>
      </c>
      <c r="G30" s="149">
        <f t="shared" si="7"/>
        <v>-1955000</v>
      </c>
      <c r="H30" s="149"/>
    </row>
    <row r="31" spans="1:15" ht="15" customHeight="1" x14ac:dyDescent="0.15">
      <c r="A31" s="149"/>
      <c r="B31" s="149"/>
      <c r="C31" s="149"/>
      <c r="D31" s="149"/>
      <c r="E31" s="149"/>
      <c r="F31" s="149"/>
      <c r="G31" s="149"/>
      <c r="H31" s="149"/>
    </row>
    <row r="32" spans="1:15" ht="15" customHeight="1" x14ac:dyDescent="0.15">
      <c r="A32" s="148" t="s">
        <v>6</v>
      </c>
      <c r="B32" s="149" t="s">
        <v>113</v>
      </c>
      <c r="C32" s="149" t="s">
        <v>114</v>
      </c>
      <c r="D32" s="149"/>
      <c r="E32" s="149"/>
      <c r="F32" s="149"/>
      <c r="G32" s="149"/>
      <c r="H32" s="149"/>
    </row>
    <row r="33" spans="1:18" ht="15" customHeight="1" x14ac:dyDescent="0.15">
      <c r="A33" s="166" t="s">
        <v>105</v>
      </c>
      <c r="B33" s="166" t="s">
        <v>106</v>
      </c>
      <c r="C33" s="167" t="s">
        <v>107</v>
      </c>
      <c r="D33" s="168" t="s">
        <v>107</v>
      </c>
      <c r="E33" s="167" t="s">
        <v>107</v>
      </c>
      <c r="F33" s="168" t="s">
        <v>107</v>
      </c>
      <c r="G33" s="167" t="s">
        <v>107</v>
      </c>
      <c r="H33" s="149"/>
    </row>
    <row r="34" spans="1:18" ht="15" customHeight="1" x14ac:dyDescent="0.15">
      <c r="A34" s="169">
        <v>0</v>
      </c>
      <c r="B34" s="169">
        <f>A35-1</f>
        <v>1100000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  <c r="H34" s="149"/>
    </row>
    <row r="35" spans="1:18" ht="15" customHeight="1" x14ac:dyDescent="0.15">
      <c r="A35" s="169">
        <v>1100001</v>
      </c>
      <c r="B35" s="169">
        <f>A36-1</f>
        <v>3299999</v>
      </c>
      <c r="C35" s="149">
        <f>C$20-1100000</f>
        <v>-1100000</v>
      </c>
      <c r="D35" s="149">
        <f t="shared" ref="D35:G35" si="8">D$20-1100000</f>
        <v>-1100000</v>
      </c>
      <c r="E35" s="149">
        <f t="shared" si="8"/>
        <v>-1100000</v>
      </c>
      <c r="F35" s="149">
        <f t="shared" si="8"/>
        <v>-1100000</v>
      </c>
      <c r="G35" s="149">
        <f t="shared" si="8"/>
        <v>-1100000</v>
      </c>
      <c r="H35" s="149"/>
      <c r="I35" s="149"/>
      <c r="J35" s="149"/>
      <c r="K35" s="149"/>
      <c r="L35" s="149"/>
      <c r="M35" s="153"/>
    </row>
    <row r="36" spans="1:18" ht="15" customHeight="1" x14ac:dyDescent="0.15">
      <c r="A36" s="169">
        <v>3300000</v>
      </c>
      <c r="B36" s="169">
        <f>A37-1</f>
        <v>4099999</v>
      </c>
      <c r="C36" s="149">
        <f>C$20*0.75-275000</f>
        <v>-275000</v>
      </c>
      <c r="D36" s="149">
        <f t="shared" ref="D36:G36" si="9">D$20*0.75-275000</f>
        <v>-275000</v>
      </c>
      <c r="E36" s="149">
        <f t="shared" si="9"/>
        <v>-275000</v>
      </c>
      <c r="F36" s="149">
        <f t="shared" si="9"/>
        <v>-275000</v>
      </c>
      <c r="G36" s="149">
        <f t="shared" si="9"/>
        <v>-275000</v>
      </c>
      <c r="H36" s="149"/>
      <c r="I36" s="149"/>
      <c r="J36" s="149"/>
      <c r="K36" s="149"/>
      <c r="L36" s="149"/>
      <c r="M36" s="153"/>
    </row>
    <row r="37" spans="1:18" ht="15" customHeight="1" x14ac:dyDescent="0.15">
      <c r="A37" s="169">
        <v>4100000</v>
      </c>
      <c r="B37" s="169">
        <f>A38-1</f>
        <v>7699999</v>
      </c>
      <c r="C37" s="149">
        <f>C$20*0.85-685000</f>
        <v>-685000</v>
      </c>
      <c r="D37" s="149">
        <f t="shared" ref="D37:G37" si="10">D$20*0.85-685000</f>
        <v>-685000</v>
      </c>
      <c r="E37" s="149">
        <f t="shared" si="10"/>
        <v>-685000</v>
      </c>
      <c r="F37" s="149">
        <f t="shared" si="10"/>
        <v>-685000</v>
      </c>
      <c r="G37" s="149">
        <f t="shared" si="10"/>
        <v>-685000</v>
      </c>
      <c r="H37" s="149"/>
      <c r="I37" s="149"/>
      <c r="J37" s="149"/>
      <c r="K37" s="149"/>
      <c r="L37" s="149"/>
      <c r="M37" s="153"/>
    </row>
    <row r="38" spans="1:18" ht="15" customHeight="1" x14ac:dyDescent="0.15">
      <c r="A38" s="169">
        <v>7700000</v>
      </c>
      <c r="B38" s="169">
        <f>A39-1</f>
        <v>9999999</v>
      </c>
      <c r="C38" s="149">
        <f>C$20*0.95-1455000</f>
        <v>-1455000</v>
      </c>
      <c r="D38" s="149">
        <f t="shared" ref="D38:G38" si="11">D$20*0.95-1455000</f>
        <v>-1455000</v>
      </c>
      <c r="E38" s="149">
        <f t="shared" si="11"/>
        <v>-1455000</v>
      </c>
      <c r="F38" s="149">
        <f t="shared" si="11"/>
        <v>-1455000</v>
      </c>
      <c r="G38" s="149">
        <f t="shared" si="11"/>
        <v>-1455000</v>
      </c>
      <c r="H38" s="149"/>
      <c r="I38" s="149"/>
      <c r="J38" s="149"/>
      <c r="K38" s="149"/>
      <c r="L38" s="149"/>
      <c r="M38" s="153"/>
    </row>
    <row r="39" spans="1:18" ht="15" customHeight="1" x14ac:dyDescent="0.15">
      <c r="A39" s="169">
        <v>10000000</v>
      </c>
      <c r="B39" s="169"/>
      <c r="C39" s="149">
        <f>C$20-1955000</f>
        <v>-1955000</v>
      </c>
      <c r="D39" s="149">
        <f t="shared" ref="D39:G39" si="12">D$20-1955000</f>
        <v>-1955000</v>
      </c>
      <c r="E39" s="149">
        <f t="shared" si="12"/>
        <v>-1955000</v>
      </c>
      <c r="F39" s="149">
        <f t="shared" si="12"/>
        <v>-1955000</v>
      </c>
      <c r="G39" s="149">
        <f t="shared" si="12"/>
        <v>-1955000</v>
      </c>
      <c r="H39" s="149"/>
      <c r="I39" s="149"/>
      <c r="J39" s="149"/>
      <c r="K39" s="149"/>
      <c r="L39" s="149"/>
      <c r="M39" s="153"/>
    </row>
    <row r="40" spans="1:18" s="150" customFormat="1" ht="15" customHeight="1" x14ac:dyDescent="0.15">
      <c r="A40" s="14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53"/>
    </row>
    <row r="41" spans="1:18" s="150" customFormat="1" ht="15" customHeight="1" x14ac:dyDescent="0.15">
      <c r="A41" s="149"/>
      <c r="B41" s="149"/>
      <c r="C41" s="156" t="s">
        <v>88</v>
      </c>
      <c r="D41" s="157" t="s">
        <v>89</v>
      </c>
      <c r="E41" s="156" t="s">
        <v>90</v>
      </c>
      <c r="F41" s="157" t="s">
        <v>91</v>
      </c>
      <c r="G41" s="156" t="s">
        <v>120</v>
      </c>
      <c r="H41" s="149"/>
      <c r="I41" s="149"/>
      <c r="J41" s="149"/>
      <c r="K41" s="149"/>
      <c r="L41" s="149"/>
      <c r="M41" s="153"/>
    </row>
    <row r="42" spans="1:18" ht="15" customHeight="1" x14ac:dyDescent="0.15">
      <c r="A42" s="149"/>
      <c r="B42" s="149" t="s">
        <v>176</v>
      </c>
      <c r="C42" s="165">
        <f>IF(AND(C4&gt;=1,OR(C19&gt;=1,C21&gt;=1)),100000,0)</f>
        <v>0</v>
      </c>
      <c r="D42" s="165">
        <f t="shared" ref="D42:F42" si="13">IF(AND(D4&gt;=1,OR(D19&gt;=1,D21&gt;=1)),100000,0)</f>
        <v>0</v>
      </c>
      <c r="E42" s="165">
        <f t="shared" si="13"/>
        <v>0</v>
      </c>
      <c r="F42" s="165">
        <f t="shared" si="13"/>
        <v>0</v>
      </c>
      <c r="G42" s="165">
        <f>IF(AND(G4&gt;=1,OR(G19&gt;=1,G21&gt;=1)),100000,0)</f>
        <v>0</v>
      </c>
      <c r="H42" s="149"/>
      <c r="I42" s="149"/>
      <c r="J42" s="149"/>
      <c r="K42" s="149"/>
      <c r="L42" s="149"/>
      <c r="M42" s="153"/>
    </row>
    <row r="43" spans="1:18" ht="15" customHeight="1" x14ac:dyDescent="0.15">
      <c r="A43" s="149"/>
      <c r="B43" s="149"/>
      <c r="C43" s="250"/>
      <c r="D43" s="250"/>
      <c r="E43" s="250"/>
      <c r="F43" s="164"/>
      <c r="G43" s="164"/>
      <c r="H43" s="149"/>
      <c r="I43" s="149"/>
      <c r="J43" s="149"/>
      <c r="K43" s="149"/>
      <c r="L43" s="149"/>
      <c r="M43" s="153"/>
    </row>
    <row r="44" spans="1:18" ht="15" customHeight="1" x14ac:dyDescent="0.15">
      <c r="A44" s="232" t="s">
        <v>132</v>
      </c>
      <c r="B44" s="233" t="s">
        <v>133</v>
      </c>
      <c r="C44" s="233"/>
      <c r="D44" s="233"/>
      <c r="E44" s="233"/>
      <c r="F44" s="233"/>
      <c r="G44" s="233"/>
      <c r="H44" s="233"/>
      <c r="I44" s="234"/>
      <c r="J44" s="234"/>
      <c r="K44" s="234"/>
      <c r="L44" s="234"/>
      <c r="M44" s="234"/>
      <c r="N44" s="234"/>
      <c r="O44" s="234"/>
    </row>
    <row r="45" spans="1:18" ht="15" customHeight="1" x14ac:dyDescent="0.15">
      <c r="A45" s="217"/>
      <c r="B45" s="218" t="s">
        <v>3</v>
      </c>
      <c r="C45" s="218"/>
      <c r="D45" s="218"/>
      <c r="E45" s="219"/>
      <c r="F45" s="218" t="s">
        <v>17</v>
      </c>
      <c r="G45" s="218"/>
      <c r="H45" s="218"/>
      <c r="I45" s="220" t="s">
        <v>4</v>
      </c>
      <c r="J45" s="220"/>
      <c r="K45" s="220"/>
      <c r="L45" s="221" t="s">
        <v>93</v>
      </c>
      <c r="M45" s="221"/>
      <c r="N45" s="221"/>
      <c r="O45" s="222" t="s">
        <v>131</v>
      </c>
      <c r="P45" s="176"/>
      <c r="Q45" s="177"/>
      <c r="R45" s="177"/>
    </row>
    <row r="46" spans="1:18" s="154" customFormat="1" ht="15" customHeight="1" x14ac:dyDescent="0.15">
      <c r="A46" s="223" t="s">
        <v>135</v>
      </c>
      <c r="B46" s="223" t="s">
        <v>13</v>
      </c>
      <c r="C46" s="223" t="s">
        <v>10</v>
      </c>
      <c r="D46" s="223" t="s">
        <v>11</v>
      </c>
      <c r="E46" s="224" t="s">
        <v>14</v>
      </c>
      <c r="F46" s="223" t="s">
        <v>13</v>
      </c>
      <c r="G46" s="223" t="s">
        <v>10</v>
      </c>
      <c r="H46" s="224" t="s">
        <v>14</v>
      </c>
      <c r="I46" s="223" t="s">
        <v>13</v>
      </c>
      <c r="J46" s="223" t="s">
        <v>12</v>
      </c>
      <c r="K46" s="223" t="s">
        <v>14</v>
      </c>
      <c r="L46" s="223" t="s">
        <v>13</v>
      </c>
      <c r="M46" s="223" t="s">
        <v>12</v>
      </c>
      <c r="N46" s="223" t="s">
        <v>14</v>
      </c>
      <c r="O46" s="223" t="s">
        <v>14</v>
      </c>
      <c r="Q46" s="172"/>
      <c r="R46" s="172"/>
    </row>
    <row r="47" spans="1:18" s="150" customFormat="1" ht="15" customHeight="1" x14ac:dyDescent="0.15">
      <c r="A47" s="225" t="s">
        <v>134</v>
      </c>
      <c r="B47" s="226">
        <v>6.6600000000000006E-2</v>
      </c>
      <c r="C47" s="227">
        <v>17400</v>
      </c>
      <c r="D47" s="227">
        <v>24400</v>
      </c>
      <c r="E47" s="228">
        <v>670000</v>
      </c>
      <c r="F47" s="226">
        <v>2.5999999999999999E-2</v>
      </c>
      <c r="G47" s="227">
        <v>12000</v>
      </c>
      <c r="H47" s="228">
        <v>260000</v>
      </c>
      <c r="I47" s="226">
        <v>1.7999999999999999E-2</v>
      </c>
      <c r="J47" s="227">
        <v>16000</v>
      </c>
      <c r="K47" s="227">
        <v>170000</v>
      </c>
      <c r="L47" s="229">
        <v>2.2000000000000001E-3</v>
      </c>
      <c r="M47" s="228">
        <f>2100+200</f>
        <v>2300</v>
      </c>
      <c r="N47" s="228">
        <v>30000</v>
      </c>
      <c r="O47" s="230">
        <f>E47+H47+K47+N47</f>
        <v>1130000</v>
      </c>
    </row>
    <row r="48" spans="1:18" s="150" customFormat="1" ht="15" customHeight="1" x14ac:dyDescent="0.15">
      <c r="A48" s="231" t="s">
        <v>136</v>
      </c>
      <c r="B48" s="226">
        <f>$B$47</f>
        <v>6.6600000000000006E-2</v>
      </c>
      <c r="C48" s="227">
        <f>C$47*30%</f>
        <v>5220</v>
      </c>
      <c r="D48" s="227">
        <f>D$47*30%</f>
        <v>7320</v>
      </c>
      <c r="E48" s="228">
        <f>$E$47</f>
        <v>670000</v>
      </c>
      <c r="F48" s="226">
        <f>$F$47</f>
        <v>2.5999999999999999E-2</v>
      </c>
      <c r="G48" s="227">
        <f>G$47*30%</f>
        <v>3600</v>
      </c>
      <c r="H48" s="228">
        <f>$H$47</f>
        <v>260000</v>
      </c>
      <c r="I48" s="226">
        <f>$I$47</f>
        <v>1.7999999999999999E-2</v>
      </c>
      <c r="J48" s="227">
        <f>J$47*30%</f>
        <v>4800</v>
      </c>
      <c r="K48" s="227">
        <f>$K$47</f>
        <v>170000</v>
      </c>
      <c r="L48" s="229">
        <f>$L$47</f>
        <v>2.2000000000000001E-3</v>
      </c>
      <c r="M48" s="228">
        <f>M$47*30%</f>
        <v>690</v>
      </c>
      <c r="N48" s="228">
        <f>$N$47</f>
        <v>30000</v>
      </c>
      <c r="O48" s="230">
        <f>$O$47</f>
        <v>1130000</v>
      </c>
    </row>
    <row r="49" spans="1:15" s="150" customFormat="1" ht="15" customHeight="1" x14ac:dyDescent="0.15">
      <c r="A49" s="231" t="s">
        <v>137</v>
      </c>
      <c r="B49" s="226">
        <f t="shared" ref="B49:B50" si="14">$B$47</f>
        <v>6.6600000000000006E-2</v>
      </c>
      <c r="C49" s="227">
        <f>C$47*50%</f>
        <v>8700</v>
      </c>
      <c r="D49" s="227">
        <f>D$47*50%</f>
        <v>12200</v>
      </c>
      <c r="E49" s="228">
        <f t="shared" ref="E49:E50" si="15">$E$47</f>
        <v>670000</v>
      </c>
      <c r="F49" s="226">
        <f t="shared" ref="F49:F50" si="16">$F$47</f>
        <v>2.5999999999999999E-2</v>
      </c>
      <c r="G49" s="227">
        <f>G$47*50%</f>
        <v>6000</v>
      </c>
      <c r="H49" s="228">
        <f t="shared" ref="H49:H50" si="17">$H$47</f>
        <v>260000</v>
      </c>
      <c r="I49" s="226">
        <f t="shared" ref="I49:I50" si="18">$I$47</f>
        <v>1.7999999999999999E-2</v>
      </c>
      <c r="J49" s="227">
        <f>J$47*50%</f>
        <v>8000</v>
      </c>
      <c r="K49" s="227">
        <f t="shared" ref="K49:K50" si="19">$K$47</f>
        <v>170000</v>
      </c>
      <c r="L49" s="229">
        <f t="shared" ref="L49:L50" si="20">$L$47</f>
        <v>2.2000000000000001E-3</v>
      </c>
      <c r="M49" s="228">
        <f>M$47*50%</f>
        <v>1150</v>
      </c>
      <c r="N49" s="228">
        <f t="shared" ref="N49:N50" si="21">$N$47</f>
        <v>30000</v>
      </c>
      <c r="O49" s="230">
        <f t="shared" ref="O49:O50" si="22">$O$47</f>
        <v>1130000</v>
      </c>
    </row>
    <row r="50" spans="1:15" s="150" customFormat="1" ht="15" customHeight="1" x14ac:dyDescent="0.15">
      <c r="A50" s="231" t="s">
        <v>138</v>
      </c>
      <c r="B50" s="226">
        <f t="shared" si="14"/>
        <v>6.6600000000000006E-2</v>
      </c>
      <c r="C50" s="227">
        <f>C$47*80%</f>
        <v>13920</v>
      </c>
      <c r="D50" s="227">
        <f>D$47*80%</f>
        <v>19520</v>
      </c>
      <c r="E50" s="228">
        <f t="shared" si="15"/>
        <v>670000</v>
      </c>
      <c r="F50" s="226">
        <f t="shared" si="16"/>
        <v>2.5999999999999999E-2</v>
      </c>
      <c r="G50" s="227">
        <f>G$47*80%</f>
        <v>9600</v>
      </c>
      <c r="H50" s="228">
        <f t="shared" si="17"/>
        <v>260000</v>
      </c>
      <c r="I50" s="226">
        <f t="shared" si="18"/>
        <v>1.7999999999999999E-2</v>
      </c>
      <c r="J50" s="227">
        <f>J$47*80%</f>
        <v>12800</v>
      </c>
      <c r="K50" s="227">
        <f t="shared" si="19"/>
        <v>170000</v>
      </c>
      <c r="L50" s="229">
        <f t="shared" si="20"/>
        <v>2.2000000000000001E-3</v>
      </c>
      <c r="M50" s="228">
        <f>M$47*80%</f>
        <v>1840</v>
      </c>
      <c r="N50" s="228">
        <f t="shared" si="21"/>
        <v>30000</v>
      </c>
      <c r="O50" s="230">
        <f t="shared" si="22"/>
        <v>1130000</v>
      </c>
    </row>
    <row r="51" spans="1:15" s="150" customFormat="1" ht="15" customHeight="1" x14ac:dyDescent="0.15">
      <c r="A51" s="152"/>
      <c r="B51" s="181"/>
      <c r="C51" s="164"/>
      <c r="D51" s="164"/>
      <c r="E51" s="182"/>
      <c r="F51" s="181"/>
      <c r="G51" s="164"/>
      <c r="H51" s="182"/>
      <c r="I51" s="181"/>
      <c r="J51" s="164"/>
      <c r="K51" s="164"/>
      <c r="L51" s="183"/>
      <c r="M51" s="182"/>
      <c r="N51" s="182"/>
      <c r="O51" s="152"/>
    </row>
    <row r="52" spans="1:15" s="150" customFormat="1" ht="15" customHeight="1" x14ac:dyDescent="0.15">
      <c r="A52" s="151" t="s">
        <v>157</v>
      </c>
      <c r="B52" s="181"/>
      <c r="C52" s="214" t="s">
        <v>59</v>
      </c>
      <c r="D52" s="172" t="str">
        <f>O19</f>
        <v>７割軽減</v>
      </c>
      <c r="E52" s="182"/>
      <c r="F52" s="181"/>
      <c r="G52" s="164"/>
      <c r="H52" s="182"/>
      <c r="I52" s="181"/>
      <c r="J52" s="164"/>
      <c r="K52" s="164"/>
      <c r="L52" s="183"/>
      <c r="M52" s="182"/>
      <c r="N52" s="182"/>
      <c r="O52" s="152"/>
    </row>
    <row r="53" spans="1:15" s="150" customFormat="1" ht="15" customHeight="1" x14ac:dyDescent="0.15">
      <c r="A53" s="247" t="s">
        <v>163</v>
      </c>
      <c r="B53" s="192" t="s">
        <v>3</v>
      </c>
      <c r="C53" s="192"/>
      <c r="D53" s="192"/>
      <c r="E53" s="193"/>
      <c r="F53" s="192" t="s">
        <v>17</v>
      </c>
      <c r="G53" s="192"/>
      <c r="H53" s="192"/>
      <c r="I53" s="194" t="s">
        <v>4</v>
      </c>
      <c r="J53" s="194"/>
      <c r="K53" s="194"/>
      <c r="L53" s="191" t="s">
        <v>93</v>
      </c>
      <c r="M53" s="191"/>
      <c r="N53" s="191"/>
      <c r="O53" s="245" t="s">
        <v>131</v>
      </c>
    </row>
    <row r="54" spans="1:15" s="150" customFormat="1" ht="15" customHeight="1" x14ac:dyDescent="0.15">
      <c r="A54" s="246"/>
      <c r="B54" s="179" t="s">
        <v>13</v>
      </c>
      <c r="C54" s="179" t="s">
        <v>10</v>
      </c>
      <c r="D54" s="179" t="s">
        <v>11</v>
      </c>
      <c r="E54" s="180" t="s">
        <v>14</v>
      </c>
      <c r="F54" s="179" t="s">
        <v>13</v>
      </c>
      <c r="G54" s="179" t="s">
        <v>10</v>
      </c>
      <c r="H54" s="180" t="s">
        <v>14</v>
      </c>
      <c r="I54" s="179" t="s">
        <v>13</v>
      </c>
      <c r="J54" s="179" t="s">
        <v>12</v>
      </c>
      <c r="K54" s="179" t="s">
        <v>14</v>
      </c>
      <c r="L54" s="179" t="s">
        <v>13</v>
      </c>
      <c r="M54" s="179" t="s">
        <v>12</v>
      </c>
      <c r="N54" s="179" t="s">
        <v>14</v>
      </c>
      <c r="O54" s="179" t="s">
        <v>14</v>
      </c>
    </row>
    <row r="55" spans="1:15" ht="15" customHeight="1" x14ac:dyDescent="0.15">
      <c r="A55" s="186" t="s">
        <v>159</v>
      </c>
      <c r="B55" s="209">
        <f t="shared" ref="B55:N55" si="23">IF($D$52=$A48,B48,IF($D$52=$A49,B49,IF($D$52=$A50,B50,B47)))</f>
        <v>6.6600000000000006E-2</v>
      </c>
      <c r="C55" s="189">
        <f t="shared" si="23"/>
        <v>5220</v>
      </c>
      <c r="D55" s="189">
        <f t="shared" si="23"/>
        <v>7320</v>
      </c>
      <c r="E55" s="189">
        <f t="shared" si="23"/>
        <v>670000</v>
      </c>
      <c r="F55" s="209">
        <f t="shared" si="23"/>
        <v>2.5999999999999999E-2</v>
      </c>
      <c r="G55" s="189">
        <f t="shared" si="23"/>
        <v>3600</v>
      </c>
      <c r="H55" s="189">
        <f t="shared" si="23"/>
        <v>260000</v>
      </c>
      <c r="I55" s="209">
        <f t="shared" si="23"/>
        <v>1.7999999999999999E-2</v>
      </c>
      <c r="J55" s="189">
        <f t="shared" si="23"/>
        <v>4800</v>
      </c>
      <c r="K55" s="189">
        <f t="shared" si="23"/>
        <v>170000</v>
      </c>
      <c r="L55" s="209">
        <f t="shared" si="23"/>
        <v>2.2000000000000001E-3</v>
      </c>
      <c r="M55" s="189">
        <f t="shared" si="23"/>
        <v>690</v>
      </c>
      <c r="N55" s="189">
        <f t="shared" si="23"/>
        <v>30000</v>
      </c>
      <c r="O55" s="189">
        <f>E55+H55+K55+N55</f>
        <v>1130000</v>
      </c>
    </row>
    <row r="56" spans="1:15" s="150" customFormat="1" ht="15" customHeight="1" x14ac:dyDescent="0.15">
      <c r="A56" s="186" t="s">
        <v>148</v>
      </c>
      <c r="B56" s="209">
        <f t="shared" ref="B56:H56" si="24">B55</f>
        <v>6.6600000000000006E-2</v>
      </c>
      <c r="C56" s="189">
        <f t="shared" si="24"/>
        <v>5220</v>
      </c>
      <c r="D56" s="189">
        <f t="shared" si="24"/>
        <v>7320</v>
      </c>
      <c r="E56" s="189">
        <f t="shared" si="24"/>
        <v>670000</v>
      </c>
      <c r="F56" s="209">
        <f t="shared" si="24"/>
        <v>2.5999999999999999E-2</v>
      </c>
      <c r="G56" s="189">
        <f t="shared" si="24"/>
        <v>3600</v>
      </c>
      <c r="H56" s="189">
        <f t="shared" si="24"/>
        <v>260000</v>
      </c>
      <c r="I56" s="209"/>
      <c r="J56" s="189"/>
      <c r="K56" s="189"/>
      <c r="L56" s="209">
        <f>L55</f>
        <v>2.2000000000000001E-3</v>
      </c>
      <c r="M56" s="189">
        <f>M55</f>
        <v>690</v>
      </c>
      <c r="N56" s="189">
        <f>N55</f>
        <v>30000</v>
      </c>
      <c r="O56" s="189">
        <f t="shared" ref="O56:O58" si="25">E56+H56+K56+N56</f>
        <v>960000</v>
      </c>
    </row>
    <row r="57" spans="1:15" s="150" customFormat="1" ht="15" customHeight="1" x14ac:dyDescent="0.15">
      <c r="A57" s="186" t="s">
        <v>160</v>
      </c>
      <c r="B57" s="209">
        <f>B55</f>
        <v>6.6600000000000006E-2</v>
      </c>
      <c r="C57" s="189">
        <f>C55</f>
        <v>5220</v>
      </c>
      <c r="D57" s="189">
        <f t="shared" ref="D57:H57" si="26">D55</f>
        <v>7320</v>
      </c>
      <c r="E57" s="189">
        <f t="shared" si="26"/>
        <v>670000</v>
      </c>
      <c r="F57" s="210">
        <f>F55</f>
        <v>2.5999999999999999E-2</v>
      </c>
      <c r="G57" s="189">
        <f t="shared" si="26"/>
        <v>3600</v>
      </c>
      <c r="H57" s="189">
        <f t="shared" si="26"/>
        <v>260000</v>
      </c>
      <c r="I57" s="189"/>
      <c r="J57" s="189"/>
      <c r="K57" s="189"/>
      <c r="L57" s="189"/>
      <c r="M57" s="189"/>
      <c r="N57" s="189"/>
      <c r="O57" s="189">
        <f t="shared" si="25"/>
        <v>930000</v>
      </c>
    </row>
    <row r="58" spans="1:15" s="150" customFormat="1" ht="15" customHeight="1" x14ac:dyDescent="0.15">
      <c r="A58" s="186" t="s">
        <v>139</v>
      </c>
      <c r="B58" s="209">
        <f>B55</f>
        <v>6.6600000000000006E-2</v>
      </c>
      <c r="C58" s="189">
        <f>C55/2</f>
        <v>2610</v>
      </c>
      <c r="D58" s="189">
        <f>D55/2</f>
        <v>3660</v>
      </c>
      <c r="E58" s="189">
        <f>E55</f>
        <v>670000</v>
      </c>
      <c r="F58" s="210">
        <f>F55</f>
        <v>2.5999999999999999E-2</v>
      </c>
      <c r="G58" s="189">
        <f>G55/2</f>
        <v>1800</v>
      </c>
      <c r="H58" s="189">
        <f>H55</f>
        <v>260000</v>
      </c>
      <c r="I58" s="189"/>
      <c r="J58" s="189"/>
      <c r="K58" s="189"/>
      <c r="L58" s="189"/>
      <c r="M58" s="189"/>
      <c r="N58" s="189"/>
      <c r="O58" s="189">
        <f t="shared" si="25"/>
        <v>930000</v>
      </c>
    </row>
    <row r="59" spans="1:15" s="150" customFormat="1" ht="15" customHeight="1" x14ac:dyDescent="0.15">
      <c r="A59" s="159"/>
      <c r="B59" s="184"/>
      <c r="C59" s="185"/>
      <c r="D59" s="185"/>
      <c r="E59" s="185"/>
      <c r="F59" s="184"/>
      <c r="G59" s="185"/>
      <c r="H59" s="185"/>
      <c r="I59" s="184"/>
      <c r="J59" s="185"/>
      <c r="K59" s="185"/>
      <c r="L59" s="184"/>
      <c r="M59" s="185"/>
      <c r="N59" s="185"/>
      <c r="O59" s="185"/>
    </row>
    <row r="60" spans="1:15" s="150" customFormat="1" ht="13.5" customHeight="1" x14ac:dyDescent="0.15">
      <c r="A60" s="195" t="s">
        <v>155</v>
      </c>
      <c r="B60" s="434" t="s">
        <v>3</v>
      </c>
      <c r="C60" s="434"/>
      <c r="D60" s="434"/>
      <c r="E60" s="435"/>
      <c r="F60" s="436" t="s">
        <v>17</v>
      </c>
      <c r="G60" s="437"/>
      <c r="H60" s="437"/>
      <c r="I60" s="438" t="s">
        <v>4</v>
      </c>
      <c r="J60" s="439"/>
      <c r="K60" s="439"/>
      <c r="L60" s="440" t="s">
        <v>93</v>
      </c>
      <c r="M60" s="440"/>
      <c r="N60" s="440"/>
      <c r="O60" s="175" t="s">
        <v>131</v>
      </c>
    </row>
    <row r="61" spans="1:15" s="150" customFormat="1" ht="13.5" customHeight="1" x14ac:dyDescent="0.15">
      <c r="A61" s="242"/>
      <c r="B61" s="190" t="s">
        <v>13</v>
      </c>
      <c r="C61" s="158" t="s">
        <v>10</v>
      </c>
      <c r="D61" s="158" t="s">
        <v>11</v>
      </c>
      <c r="E61" s="178" t="s">
        <v>87</v>
      </c>
      <c r="F61" s="158" t="s">
        <v>13</v>
      </c>
      <c r="G61" s="158" t="s">
        <v>10</v>
      </c>
      <c r="H61" s="178" t="s">
        <v>87</v>
      </c>
      <c r="I61" s="158" t="s">
        <v>13</v>
      </c>
      <c r="J61" s="158" t="s">
        <v>12</v>
      </c>
      <c r="K61" s="178" t="s">
        <v>87</v>
      </c>
      <c r="L61" s="158" t="s">
        <v>13</v>
      </c>
      <c r="M61" s="158" t="s">
        <v>12</v>
      </c>
      <c r="N61" s="178" t="s">
        <v>87</v>
      </c>
      <c r="O61" s="178" t="s">
        <v>153</v>
      </c>
    </row>
    <row r="62" spans="1:15" s="150" customFormat="1" ht="14.25" customHeight="1" x14ac:dyDescent="0.15">
      <c r="A62" s="156" t="str">
        <f>J8</f>
        <v/>
      </c>
      <c r="B62" s="189" t="str">
        <f>IF($A$62="","",J4*(VLOOKUP($A$62,$A$55:$O$58,2,FALSE)))</f>
        <v/>
      </c>
      <c r="C62" s="189" t="str">
        <f>IF(A62="","",VLOOKUP($A$62,$A$55:$O$58,3,FALSE))</f>
        <v/>
      </c>
      <c r="D62" s="189" t="str">
        <f>IF(A62="","",VLOOKUP($A$62,$A$55:$O$58,4,FALSE))</f>
        <v/>
      </c>
      <c r="E62" s="189" t="str">
        <f>IF(A62="","",B62+C62+D62)</f>
        <v/>
      </c>
      <c r="F62" s="189" t="str">
        <f>IF($A$62="","",J4*(VLOOKUP($A$62,$A$55:$O$58,6,FALSE)))</f>
        <v/>
      </c>
      <c r="G62" s="189" t="str">
        <f>IF(A62="","",VLOOKUP($A$62,$A$55:$O$58,7,FALSE))</f>
        <v/>
      </c>
      <c r="H62" s="189" t="str">
        <f>IF(A62="","",F62+G62)</f>
        <v/>
      </c>
      <c r="I62" s="189" t="str">
        <f>IF($A$62="","",J4*(VLOOKUP($A$62,$A$55:$O$58,9,FALSE)))</f>
        <v/>
      </c>
      <c r="J62" s="189" t="str">
        <f>IF(A62="","",VLOOKUP($A$62,$A$55:$O$58,10,FALSE))</f>
        <v/>
      </c>
      <c r="K62" s="189" t="str">
        <f>IF(A62="","",I62+J62)</f>
        <v/>
      </c>
      <c r="L62" s="189" t="str">
        <f>IF($A$62="","",J4*(VLOOKUP($A$62,$A$55:$O$58,12,FALSE)))</f>
        <v/>
      </c>
      <c r="M62" s="189" t="str">
        <f>IF(A62="","",VLOOKUP($A$62,$A$55:$O$58,13,FALSE))</f>
        <v/>
      </c>
      <c r="N62" s="189" t="str">
        <f>IF(A62="","",L62+M62)</f>
        <v/>
      </c>
      <c r="O62" s="189" t="str">
        <f>IF(A62="","",E62+H62+K62+N62)</f>
        <v/>
      </c>
    </row>
    <row r="63" spans="1:15" s="150" customFormat="1" x14ac:dyDescent="0.15">
      <c r="A63" s="157" t="str">
        <f>K8</f>
        <v/>
      </c>
      <c r="B63" s="189" t="str">
        <f>IF($A$63="","",K4*(VLOOKUP($A$63,$A$55:$O$58,2,FALSE)))</f>
        <v/>
      </c>
      <c r="C63" s="189" t="str">
        <f>IF(A63="","",VLOOKUP($A$63,$A$55:$O$58,3,FALSE))</f>
        <v/>
      </c>
      <c r="D63" s="189"/>
      <c r="E63" s="189" t="str">
        <f>IF(A63="","",B63+C63+D63)</f>
        <v/>
      </c>
      <c r="F63" s="189" t="str">
        <f>IF($A$63="","",K4*(VLOOKUP($A$63,$A$55:$O$58,6,FALSE)))</f>
        <v/>
      </c>
      <c r="G63" s="189" t="str">
        <f>IF(A63="","",VLOOKUP($A$63,$A$55:$O$58,7,FALSE))</f>
        <v/>
      </c>
      <c r="H63" s="189" t="str">
        <f>IF(A63="","",F63+G63)</f>
        <v/>
      </c>
      <c r="I63" s="189" t="str">
        <f>IF($A$63="","",K4*(VLOOKUP($A$63,$A$55:$O$58,9,FALSE)))</f>
        <v/>
      </c>
      <c r="J63" s="189" t="str">
        <f>IF(A63="","",VLOOKUP($A$63,$A$55:$O$58,10,FALSE))</f>
        <v/>
      </c>
      <c r="K63" s="189" t="str">
        <f>IF(A63="","",I63+J63)</f>
        <v/>
      </c>
      <c r="L63" s="189" t="str">
        <f>IF($A$63="","",K4*(VLOOKUP($A$63,$A$55:$O$58,12,FALSE)))</f>
        <v/>
      </c>
      <c r="M63" s="189" t="str">
        <f>IF(A63="","",VLOOKUP($A$63,$A$55:$O$58,13,FALSE))</f>
        <v/>
      </c>
      <c r="N63" s="189" t="str">
        <f>IF(A63="","",L63+M63)</f>
        <v/>
      </c>
      <c r="O63" s="189" t="str">
        <f>IF(A63="","",E63+H63+K63+N63)</f>
        <v/>
      </c>
    </row>
    <row r="64" spans="1:15" s="150" customFormat="1" x14ac:dyDescent="0.15">
      <c r="A64" s="156" t="str">
        <f>L8</f>
        <v/>
      </c>
      <c r="B64" s="189" t="str">
        <f>IF($A$64="","",L4*(VLOOKUP($A$64,$A$55:$O$58,2,FALSE)))</f>
        <v/>
      </c>
      <c r="C64" s="189" t="str">
        <f>IF(A64="","",VLOOKUP($A$64,$A$55:$O$58,3,FALSE))</f>
        <v/>
      </c>
      <c r="D64" s="189"/>
      <c r="E64" s="189" t="str">
        <f>IF(A64="","",B64+C64+D64)</f>
        <v/>
      </c>
      <c r="F64" s="189" t="str">
        <f>IF($A$64="","",L4*(VLOOKUP($A$64,$A$55:$O$58,6,FALSE)))</f>
        <v/>
      </c>
      <c r="G64" s="189" t="str">
        <f>IF(A64="","",VLOOKUP($A$64,$A$55:$O$58,7,FALSE))</f>
        <v/>
      </c>
      <c r="H64" s="189" t="str">
        <f>IF(A64="","",F64+G64)</f>
        <v/>
      </c>
      <c r="I64" s="189" t="str">
        <f>IF($A$64="","",L4*(VLOOKUP($A$64,$A$55:$O$58,9,FALSE)))</f>
        <v/>
      </c>
      <c r="J64" s="189" t="str">
        <f>IF(A64="","",VLOOKUP($A$64,$A$55:$O$58,10,FALSE))</f>
        <v/>
      </c>
      <c r="K64" s="189" t="str">
        <f>IF(A64="","",I64+J64)</f>
        <v/>
      </c>
      <c r="L64" s="189" t="str">
        <f>IF($A$64="","",L4*(VLOOKUP($A$64,$A$55:$O$58,12,FALSE)))</f>
        <v/>
      </c>
      <c r="M64" s="189" t="str">
        <f>IF(A64="","",VLOOKUP($A$64,$A$55:$O$58,13,FALSE))</f>
        <v/>
      </c>
      <c r="N64" s="189" t="str">
        <f>IF(A64="","",L64+M64)</f>
        <v/>
      </c>
      <c r="O64" s="189" t="str">
        <f>IF(A64="","",E64+H64+K64+N64)</f>
        <v/>
      </c>
    </row>
    <row r="65" spans="1:18" s="150" customFormat="1" ht="17.25" thickBot="1" x14ac:dyDescent="0.2">
      <c r="A65" s="157" t="str">
        <f>M8</f>
        <v/>
      </c>
      <c r="B65" s="211" t="str">
        <f>IF($A$65="","",M4*(VLOOKUP($A$65,$A$55:$O$58,2,FALSE)))</f>
        <v/>
      </c>
      <c r="C65" s="211" t="str">
        <f>IF(A65="","",VLOOKUP($A$65,$A$55:$O$58,3,FALSE))</f>
        <v/>
      </c>
      <c r="D65" s="211"/>
      <c r="E65" s="211" t="str">
        <f>IF(A65="","",B65+C65+D65)</f>
        <v/>
      </c>
      <c r="F65" s="211" t="str">
        <f>IF($A$65="","",M4*(VLOOKUP($A$65,$A$55:$O$58,6,FALSE)))</f>
        <v/>
      </c>
      <c r="G65" s="211" t="str">
        <f>IF(A65="","",VLOOKUP($A$65,$A$55:$O$58,7,FALSE))</f>
        <v/>
      </c>
      <c r="H65" s="211" t="str">
        <f>IF(A65="","",F65+G65)</f>
        <v/>
      </c>
      <c r="I65" s="211" t="str">
        <f>IF($A$65="","",M4*(VLOOKUP($A$65,$A$55:$O$58,9,FALSE)))</f>
        <v/>
      </c>
      <c r="J65" s="211" t="str">
        <f>IF(A65="","",VLOOKUP($A$65,$A$55:$O$58,10,FALSE))</f>
        <v/>
      </c>
      <c r="K65" s="211" t="str">
        <f>IF(A65="","",I65+J65)</f>
        <v/>
      </c>
      <c r="L65" s="211" t="str">
        <f>IF($A$65="","",M4*(VLOOKUP($A$65,$A$55:$O$58,12,FALSE)))</f>
        <v/>
      </c>
      <c r="M65" s="211" t="str">
        <f>IF(A65="","",VLOOKUP($A$65,$A$55:$O$58,13,FALSE))</f>
        <v/>
      </c>
      <c r="N65" s="211" t="str">
        <f>IF(A65="","",L65+M65)</f>
        <v/>
      </c>
      <c r="O65" s="211" t="str">
        <f>IF(A65="","",E65+H65+K65+N65)</f>
        <v/>
      </c>
    </row>
    <row r="66" spans="1:18" s="150" customFormat="1" ht="17.25" thickTop="1" x14ac:dyDescent="0.15">
      <c r="A66" s="212" t="s">
        <v>156</v>
      </c>
      <c r="B66" s="213">
        <f>SUM(B62:B65)</f>
        <v>0</v>
      </c>
      <c r="C66" s="213">
        <f t="shared" ref="C66:O66" si="27">SUM(C62:C65)</f>
        <v>0</v>
      </c>
      <c r="D66" s="213">
        <f t="shared" si="27"/>
        <v>0</v>
      </c>
      <c r="E66" s="213">
        <f>SUM(E62:E65)</f>
        <v>0</v>
      </c>
      <c r="F66" s="213">
        <f t="shared" si="27"/>
        <v>0</v>
      </c>
      <c r="G66" s="213">
        <f t="shared" si="27"/>
        <v>0</v>
      </c>
      <c r="H66" s="213">
        <f t="shared" si="27"/>
        <v>0</v>
      </c>
      <c r="I66" s="213">
        <f t="shared" si="27"/>
        <v>0</v>
      </c>
      <c r="J66" s="213">
        <f t="shared" si="27"/>
        <v>0</v>
      </c>
      <c r="K66" s="213">
        <f t="shared" si="27"/>
        <v>0</v>
      </c>
      <c r="L66" s="213">
        <f t="shared" si="27"/>
        <v>0</v>
      </c>
      <c r="M66" s="213">
        <f t="shared" si="27"/>
        <v>0</v>
      </c>
      <c r="N66" s="213">
        <f t="shared" si="27"/>
        <v>0</v>
      </c>
      <c r="O66" s="213">
        <f t="shared" si="27"/>
        <v>0</v>
      </c>
    </row>
    <row r="67" spans="1:18" s="150" customFormat="1" x14ac:dyDescent="0.15">
      <c r="A67" s="186" t="s">
        <v>166</v>
      </c>
      <c r="B67" s="189"/>
      <c r="C67" s="189"/>
      <c r="D67" s="189"/>
      <c r="E67" s="189">
        <f>IF(E55&lt;ROUNDDOWN(E66,-2),E55,ROUNDDOWN(E66,-2))</f>
        <v>0</v>
      </c>
      <c r="F67" s="189"/>
      <c r="G67" s="189"/>
      <c r="H67" s="189">
        <f>IF(H55&lt;ROUNDDOWN(H66,-2),H55,ROUNDDOWN(H66,-2))</f>
        <v>0</v>
      </c>
      <c r="I67" s="189"/>
      <c r="J67" s="189"/>
      <c r="K67" s="189">
        <f>IF(K55&lt;ROUNDDOWN(K66,-2),K55,ROUNDDOWN(K66,-2))</f>
        <v>0</v>
      </c>
      <c r="L67" s="189"/>
      <c r="M67" s="189"/>
      <c r="N67" s="189">
        <f>IF(N55&lt;ROUNDDOWN(N66,-2),N55,ROUNDDOWN(N66,-2))</f>
        <v>0</v>
      </c>
      <c r="O67" s="189">
        <f>E67+H67+K67+N67</f>
        <v>0</v>
      </c>
    </row>
    <row r="68" spans="1:18" s="150" customFormat="1" x14ac:dyDescent="0.15">
      <c r="A68" s="207"/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</row>
    <row r="69" spans="1:18" s="150" customFormat="1" x14ac:dyDescent="0.15">
      <c r="A69" s="159"/>
      <c r="B69" s="184"/>
      <c r="C69" s="185"/>
      <c r="D69" s="185"/>
      <c r="E69" s="185"/>
      <c r="F69" s="184"/>
      <c r="G69" s="185"/>
      <c r="H69" s="185"/>
      <c r="I69" s="184"/>
      <c r="J69" s="185"/>
      <c r="K69" s="185"/>
      <c r="L69" s="184"/>
      <c r="M69" s="185"/>
      <c r="N69" s="185"/>
      <c r="O69" s="185"/>
    </row>
    <row r="70" spans="1:18" ht="15" customHeight="1" x14ac:dyDescent="0.15">
      <c r="A70" s="148" t="s">
        <v>158</v>
      </c>
      <c r="B70" s="149"/>
      <c r="C70" s="149"/>
      <c r="D70" s="149"/>
      <c r="E70" s="149"/>
      <c r="F70" s="149"/>
      <c r="G70" s="149"/>
      <c r="H70" s="149"/>
    </row>
    <row r="71" spans="1:18" ht="15" customHeight="1" x14ac:dyDescent="0.15">
      <c r="A71" s="244" t="s">
        <v>162</v>
      </c>
      <c r="B71" s="196" t="s">
        <v>3</v>
      </c>
      <c r="C71" s="196"/>
      <c r="D71" s="196"/>
      <c r="E71" s="197"/>
      <c r="F71" s="196" t="s">
        <v>17</v>
      </c>
      <c r="G71" s="196"/>
      <c r="H71" s="196"/>
      <c r="I71" s="198" t="s">
        <v>4</v>
      </c>
      <c r="J71" s="198"/>
      <c r="K71" s="198"/>
      <c r="L71" s="198" t="s">
        <v>93</v>
      </c>
      <c r="M71" s="198"/>
      <c r="N71" s="198"/>
      <c r="O71" s="199" t="s">
        <v>131</v>
      </c>
      <c r="P71" s="176"/>
      <c r="Q71" s="177"/>
      <c r="R71" s="177"/>
    </row>
    <row r="72" spans="1:18" s="154" customFormat="1" ht="15" customHeight="1" x14ac:dyDescent="0.15">
      <c r="A72" s="243"/>
      <c r="B72" s="200" t="s">
        <v>13</v>
      </c>
      <c r="C72" s="200" t="s">
        <v>10</v>
      </c>
      <c r="D72" s="200" t="s">
        <v>11</v>
      </c>
      <c r="E72" s="201" t="s">
        <v>14</v>
      </c>
      <c r="F72" s="200" t="s">
        <v>13</v>
      </c>
      <c r="G72" s="200" t="s">
        <v>10</v>
      </c>
      <c r="H72" s="201" t="s">
        <v>14</v>
      </c>
      <c r="I72" s="200" t="s">
        <v>13</v>
      </c>
      <c r="J72" s="200" t="s">
        <v>12</v>
      </c>
      <c r="K72" s="200" t="s">
        <v>14</v>
      </c>
      <c r="L72" s="200" t="s">
        <v>13</v>
      </c>
      <c r="M72" s="200" t="s">
        <v>12</v>
      </c>
      <c r="N72" s="200" t="s">
        <v>14</v>
      </c>
      <c r="O72" s="200" t="s">
        <v>14</v>
      </c>
      <c r="Q72" s="172"/>
      <c r="R72" s="172"/>
    </row>
    <row r="73" spans="1:18" s="150" customFormat="1" ht="15" customHeight="1" x14ac:dyDescent="0.15">
      <c r="A73" s="200" t="s">
        <v>146</v>
      </c>
      <c r="B73" s="202">
        <f>B$47</f>
        <v>6.6600000000000006E-2</v>
      </c>
      <c r="C73" s="203">
        <f t="shared" ref="C73:N76" si="28">C$47</f>
        <v>17400</v>
      </c>
      <c r="D73" s="203">
        <f t="shared" si="28"/>
        <v>24400</v>
      </c>
      <c r="E73" s="203">
        <f t="shared" si="28"/>
        <v>670000</v>
      </c>
      <c r="F73" s="202">
        <f t="shared" si="28"/>
        <v>2.5999999999999999E-2</v>
      </c>
      <c r="G73" s="203">
        <f t="shared" si="28"/>
        <v>12000</v>
      </c>
      <c r="H73" s="203">
        <f t="shared" si="28"/>
        <v>260000</v>
      </c>
      <c r="I73" s="202">
        <f t="shared" si="28"/>
        <v>1.7999999999999999E-2</v>
      </c>
      <c r="J73" s="203">
        <f t="shared" si="28"/>
        <v>16000</v>
      </c>
      <c r="K73" s="203">
        <f t="shared" si="28"/>
        <v>170000</v>
      </c>
      <c r="L73" s="202">
        <f t="shared" si="28"/>
        <v>2.2000000000000001E-3</v>
      </c>
      <c r="M73" s="203">
        <f t="shared" si="28"/>
        <v>2300</v>
      </c>
      <c r="N73" s="203">
        <f t="shared" si="28"/>
        <v>30000</v>
      </c>
      <c r="O73" s="203">
        <f>E73+H73+K73+N73</f>
        <v>1130000</v>
      </c>
    </row>
    <row r="74" spans="1:18" s="150" customFormat="1" ht="15" customHeight="1" x14ac:dyDescent="0.15">
      <c r="A74" s="201" t="s">
        <v>144</v>
      </c>
      <c r="B74" s="202">
        <f>B$47</f>
        <v>6.6600000000000006E-2</v>
      </c>
      <c r="C74" s="203">
        <f t="shared" si="28"/>
        <v>17400</v>
      </c>
      <c r="D74" s="203">
        <f t="shared" si="28"/>
        <v>24400</v>
      </c>
      <c r="E74" s="203">
        <f t="shared" si="28"/>
        <v>670000</v>
      </c>
      <c r="F74" s="202">
        <f t="shared" si="28"/>
        <v>2.5999999999999999E-2</v>
      </c>
      <c r="G74" s="203">
        <f t="shared" si="28"/>
        <v>12000</v>
      </c>
      <c r="H74" s="203">
        <f t="shared" si="28"/>
        <v>260000</v>
      </c>
      <c r="I74" s="202"/>
      <c r="J74" s="204"/>
      <c r="K74" s="204"/>
      <c r="L74" s="202">
        <f t="shared" si="28"/>
        <v>2.2000000000000001E-3</v>
      </c>
      <c r="M74" s="203">
        <f t="shared" si="28"/>
        <v>2300</v>
      </c>
      <c r="N74" s="203">
        <f t="shared" si="28"/>
        <v>30000</v>
      </c>
      <c r="O74" s="203">
        <f t="shared" ref="O74:O76" si="29">E74+H74+K74+N74</f>
        <v>960000</v>
      </c>
    </row>
    <row r="75" spans="1:18" s="150" customFormat="1" ht="15" customHeight="1" x14ac:dyDescent="0.15">
      <c r="A75" s="201" t="s">
        <v>143</v>
      </c>
      <c r="B75" s="202">
        <f t="shared" ref="B75:B76" si="30">B$47</f>
        <v>6.6600000000000006E-2</v>
      </c>
      <c r="C75" s="203">
        <f t="shared" si="28"/>
        <v>17400</v>
      </c>
      <c r="D75" s="203">
        <f t="shared" si="28"/>
        <v>24400</v>
      </c>
      <c r="E75" s="203">
        <f t="shared" si="28"/>
        <v>670000</v>
      </c>
      <c r="F75" s="202">
        <f t="shared" si="28"/>
        <v>2.5999999999999999E-2</v>
      </c>
      <c r="G75" s="203">
        <f t="shared" si="28"/>
        <v>12000</v>
      </c>
      <c r="H75" s="203">
        <f t="shared" si="28"/>
        <v>260000</v>
      </c>
      <c r="I75" s="202"/>
      <c r="J75" s="204"/>
      <c r="K75" s="204"/>
      <c r="L75" s="205"/>
      <c r="M75" s="206"/>
      <c r="N75" s="206"/>
      <c r="O75" s="203">
        <f t="shared" si="29"/>
        <v>930000</v>
      </c>
    </row>
    <row r="76" spans="1:18" s="150" customFormat="1" ht="15" customHeight="1" x14ac:dyDescent="0.15">
      <c r="A76" s="201" t="s">
        <v>139</v>
      </c>
      <c r="B76" s="202">
        <f t="shared" si="30"/>
        <v>6.6600000000000006E-2</v>
      </c>
      <c r="C76" s="203">
        <f>C$47/2</f>
        <v>8700</v>
      </c>
      <c r="D76" s="203">
        <f>D$47/2</f>
        <v>12200</v>
      </c>
      <c r="E76" s="203">
        <f t="shared" si="28"/>
        <v>670000</v>
      </c>
      <c r="F76" s="202">
        <f t="shared" si="28"/>
        <v>2.5999999999999999E-2</v>
      </c>
      <c r="G76" s="203">
        <f>G$47/2</f>
        <v>6000</v>
      </c>
      <c r="H76" s="203">
        <f t="shared" si="28"/>
        <v>260000</v>
      </c>
      <c r="I76" s="202"/>
      <c r="J76" s="204"/>
      <c r="K76" s="204"/>
      <c r="L76" s="205"/>
      <c r="M76" s="206"/>
      <c r="N76" s="206"/>
      <c r="O76" s="203">
        <f t="shared" si="29"/>
        <v>930000</v>
      </c>
    </row>
    <row r="77" spans="1:18" s="150" customFormat="1" ht="15" customHeight="1" x14ac:dyDescent="0.15">
      <c r="A77" s="152"/>
      <c r="B77" s="181"/>
      <c r="C77" s="164"/>
      <c r="D77" s="164"/>
      <c r="E77" s="182"/>
      <c r="F77" s="181"/>
      <c r="G77" s="164"/>
      <c r="H77" s="182"/>
      <c r="I77" s="181"/>
      <c r="J77" s="164"/>
      <c r="K77" s="164"/>
      <c r="L77" s="183"/>
      <c r="M77" s="182"/>
      <c r="N77" s="182"/>
      <c r="O77" s="152"/>
    </row>
    <row r="78" spans="1:18" s="150" customFormat="1" ht="13.5" customHeight="1" x14ac:dyDescent="0.15">
      <c r="A78" s="235" t="s">
        <v>155</v>
      </c>
      <c r="B78" s="441" t="s">
        <v>3</v>
      </c>
      <c r="C78" s="441"/>
      <c r="D78" s="441"/>
      <c r="E78" s="442"/>
      <c r="F78" s="443" t="s">
        <v>17</v>
      </c>
      <c r="G78" s="441"/>
      <c r="H78" s="441"/>
      <c r="I78" s="444" t="s">
        <v>4</v>
      </c>
      <c r="J78" s="444"/>
      <c r="K78" s="444"/>
      <c r="L78" s="444" t="s">
        <v>93</v>
      </c>
      <c r="M78" s="444"/>
      <c r="N78" s="444"/>
      <c r="O78" s="199" t="s">
        <v>131</v>
      </c>
    </row>
    <row r="79" spans="1:18" s="150" customFormat="1" ht="13.5" customHeight="1" x14ac:dyDescent="0.15">
      <c r="A79" s="236"/>
      <c r="B79" s="237" t="s">
        <v>13</v>
      </c>
      <c r="C79" s="200" t="s">
        <v>10</v>
      </c>
      <c r="D79" s="200" t="s">
        <v>11</v>
      </c>
      <c r="E79" s="201" t="s">
        <v>87</v>
      </c>
      <c r="F79" s="200" t="s">
        <v>13</v>
      </c>
      <c r="G79" s="200" t="s">
        <v>10</v>
      </c>
      <c r="H79" s="201" t="s">
        <v>87</v>
      </c>
      <c r="I79" s="200" t="s">
        <v>13</v>
      </c>
      <c r="J79" s="200" t="s">
        <v>12</v>
      </c>
      <c r="K79" s="201" t="s">
        <v>87</v>
      </c>
      <c r="L79" s="200" t="s">
        <v>13</v>
      </c>
      <c r="M79" s="200" t="s">
        <v>12</v>
      </c>
      <c r="N79" s="201" t="s">
        <v>87</v>
      </c>
      <c r="O79" s="201" t="s">
        <v>153</v>
      </c>
    </row>
    <row r="80" spans="1:18" s="150" customFormat="1" ht="14.25" customHeight="1" x14ac:dyDescent="0.15">
      <c r="A80" s="238" t="str">
        <f>A62</f>
        <v/>
      </c>
      <c r="B80" s="203" t="str">
        <f>IF($A$80="","",J4*(VLOOKUP($A$80,$A$73:$O$76,2,FALSE)))</f>
        <v/>
      </c>
      <c r="C80" s="203" t="str">
        <f>IF(A80="","",VLOOKUP($A$80,$A$73:$O$76,3,FALSE))</f>
        <v/>
      </c>
      <c r="D80" s="203" t="str">
        <f>IF(A80="","",VLOOKUP($A$80,$A$73:$O$76,4,FALSE))</f>
        <v/>
      </c>
      <c r="E80" s="203" t="str">
        <f>IF(A80="","",B80+C80+D80)</f>
        <v/>
      </c>
      <c r="F80" s="203" t="str">
        <f>IF($A$80="","",J4*(VLOOKUP($A$80,$A$73:$O$76,6,FALSE)))</f>
        <v/>
      </c>
      <c r="G80" s="203" t="str">
        <f>IF(A80="","",VLOOKUP($A$80,$A$73:$O$76,7,FALSE))</f>
        <v/>
      </c>
      <c r="H80" s="203" t="str">
        <f>IF(A80="","",F80+G80)</f>
        <v/>
      </c>
      <c r="I80" s="203" t="str">
        <f>IF($A$80="","",J4*(VLOOKUP($A$80,$A$73:$O$76,9,FALSE)))</f>
        <v/>
      </c>
      <c r="J80" s="203" t="str">
        <f>IF(A80="","",VLOOKUP($A$80,$A$73:$O$76,10,FALSE))</f>
        <v/>
      </c>
      <c r="K80" s="203" t="str">
        <f>IF(A80="","",I80+J80)</f>
        <v/>
      </c>
      <c r="L80" s="203" t="str">
        <f>IF($A$80="","",J4*(VLOOKUP($A$80,$A$73:$O$76,12,FALSE)))</f>
        <v/>
      </c>
      <c r="M80" s="203" t="str">
        <f>IF(A80="","",VLOOKUP($A$80,$A$73:$O$76,13,FALSE))</f>
        <v/>
      </c>
      <c r="N80" s="203" t="str">
        <f>IF(A80="","",L80+M80)</f>
        <v/>
      </c>
      <c r="O80" s="203" t="str">
        <f>IF(A80="","",E80+H80+K80+N80)</f>
        <v/>
      </c>
    </row>
    <row r="81" spans="1:15" s="150" customFormat="1" x14ac:dyDescent="0.15">
      <c r="A81" s="238" t="str">
        <f>A63</f>
        <v/>
      </c>
      <c r="B81" s="203" t="str">
        <f>IF($A$81="","",K4*(VLOOKUP($A$81,$A$73:$O$76,2,FALSE)))</f>
        <v/>
      </c>
      <c r="C81" s="203" t="str">
        <f>IF(A81="","",VLOOKUP($A$81,$A$73:$O$76,3,FALSE))</f>
        <v/>
      </c>
      <c r="D81" s="203"/>
      <c r="E81" s="203" t="str">
        <f>IF(A81="","",B81+C81+D81)</f>
        <v/>
      </c>
      <c r="F81" s="203" t="str">
        <f>IF($A$81="","",K4*(VLOOKUP($A$81,$A$73:$O$76,6,FALSE)))</f>
        <v/>
      </c>
      <c r="G81" s="203" t="str">
        <f>IF(A81="","",VLOOKUP($A$81,$A$73:$O$76,7,FALSE))</f>
        <v/>
      </c>
      <c r="H81" s="203" t="str">
        <f>IF(A81="","",F81+G81)</f>
        <v/>
      </c>
      <c r="I81" s="203" t="str">
        <f>IF($A$81="","",K4*(VLOOKUP($A$81,$A$73:$O$76,9,FALSE)))</f>
        <v/>
      </c>
      <c r="J81" s="203" t="str">
        <f>IF(A81="","",VLOOKUP($A$81,$A$73:$O$76,10,FALSE))</f>
        <v/>
      </c>
      <c r="K81" s="203" t="str">
        <f>IF(A81="","",I81+J81)</f>
        <v/>
      </c>
      <c r="L81" s="203" t="str">
        <f>IF($A$81="","",K4*(VLOOKUP($A$81,$A$73:$O$76,12,FALSE)))</f>
        <v/>
      </c>
      <c r="M81" s="203" t="str">
        <f>IF(A81="","",VLOOKUP($A$81,$A$73:$O$76,13,FALSE))</f>
        <v/>
      </c>
      <c r="N81" s="203" t="str">
        <f>IF(A81="","",L81+M81)</f>
        <v/>
      </c>
      <c r="O81" s="203" t="str">
        <f>IF(A81="","",E81+H81+K81+N81)</f>
        <v/>
      </c>
    </row>
    <row r="82" spans="1:15" s="150" customFormat="1" x14ac:dyDescent="0.15">
      <c r="A82" s="238" t="str">
        <f>A64</f>
        <v/>
      </c>
      <c r="B82" s="203" t="str">
        <f>IF($A$82="","",L4*(VLOOKUP($A$82,$A$73:$O$76,2,FALSE)))</f>
        <v/>
      </c>
      <c r="C82" s="203" t="str">
        <f>IF(A82="","",VLOOKUP($A$82,$A$73:$O$76,3,FALSE))</f>
        <v/>
      </c>
      <c r="D82" s="203"/>
      <c r="E82" s="203" t="str">
        <f>IF(A82="","",B82+C82+D82)</f>
        <v/>
      </c>
      <c r="F82" s="203" t="str">
        <f>IF($A$82="","",L4*(VLOOKUP($A$82,$A$73:$O$76,6,FALSE)))</f>
        <v/>
      </c>
      <c r="G82" s="203" t="str">
        <f>IF(A82="","",VLOOKUP($A$82,$A$73:$O$76,7,FALSE))</f>
        <v/>
      </c>
      <c r="H82" s="203" t="str">
        <f>IF(A82="","",F82+G82)</f>
        <v/>
      </c>
      <c r="I82" s="203" t="str">
        <f>IF($A$82="","",L4*(VLOOKUP($A$82,$A$73:$O$76,9,FALSE)))</f>
        <v/>
      </c>
      <c r="J82" s="203" t="str">
        <f>IF(A82="","",VLOOKUP($A$82,$A$73:$O$76,10,FALSE))</f>
        <v/>
      </c>
      <c r="K82" s="203" t="str">
        <f>IF(A82="","",I82+J82)</f>
        <v/>
      </c>
      <c r="L82" s="203" t="str">
        <f>IF($A$82="","",L4*(VLOOKUP($A$82,$A$73:$O$76,12,FALSE)))</f>
        <v/>
      </c>
      <c r="M82" s="203" t="str">
        <f>IF(A82="","",VLOOKUP($A$82,$A$73:$O$76,13,FALSE))</f>
        <v/>
      </c>
      <c r="N82" s="203" t="str">
        <f>IF(A82="","",L82+M82)</f>
        <v/>
      </c>
      <c r="O82" s="203" t="str">
        <f>IF(A82="","",E82+H82+K82+N82)</f>
        <v/>
      </c>
    </row>
    <row r="83" spans="1:15" s="150" customFormat="1" ht="17.25" thickBot="1" x14ac:dyDescent="0.2">
      <c r="A83" s="238" t="str">
        <f>A65</f>
        <v/>
      </c>
      <c r="B83" s="239" t="str">
        <f>IF($A$83="","",M4*(VLOOKUP($A$83,$A$73:$O$76,2,FALSE)))</f>
        <v/>
      </c>
      <c r="C83" s="239" t="str">
        <f>IF(A83="","",VLOOKUP($A$83,$A$73:$O$76,3,FALSE))</f>
        <v/>
      </c>
      <c r="D83" s="239"/>
      <c r="E83" s="239" t="str">
        <f>IF(A83="","",B83+C83+D83)</f>
        <v/>
      </c>
      <c r="F83" s="239" t="str">
        <f>IF($A$83="","",M4*(VLOOKUP($A$83,$A$73:$O$76,6,FALSE)))</f>
        <v/>
      </c>
      <c r="G83" s="239" t="str">
        <f>IF(A83="","",VLOOKUP($A$83,$A$73:$O$76,7,FALSE))</f>
        <v/>
      </c>
      <c r="H83" s="239" t="str">
        <f>IF(A83="","",F83+G83)</f>
        <v/>
      </c>
      <c r="I83" s="239" t="str">
        <f>IF($A$83="","",M4*(VLOOKUP($A$83,$A$73:$O$76,9,FALSE)))</f>
        <v/>
      </c>
      <c r="J83" s="239" t="str">
        <f>IF(A83="","",VLOOKUP($A$83,$A$73:$O$76,10,FALSE))</f>
        <v/>
      </c>
      <c r="K83" s="239" t="str">
        <f>IF(A83="","",I83+J83)</f>
        <v/>
      </c>
      <c r="L83" s="239" t="str">
        <f>IF($A$83="","",M4*(VLOOKUP($A$83,$A$73:$O$76,12,FALSE)))</f>
        <v/>
      </c>
      <c r="M83" s="239" t="str">
        <f>IF(A83="","",VLOOKUP($A$83,$A$73:$O$76,13,FALSE))</f>
        <v/>
      </c>
      <c r="N83" s="239" t="str">
        <f>IF(A83="","",L83+M83)</f>
        <v/>
      </c>
      <c r="O83" s="239" t="str">
        <f>IF(A83="","",E83+H83+K83+N83)</f>
        <v/>
      </c>
    </row>
    <row r="84" spans="1:15" s="150" customFormat="1" ht="17.25" thickTop="1" x14ac:dyDescent="0.15">
      <c r="A84" s="240" t="s">
        <v>156</v>
      </c>
      <c r="B84" s="241">
        <f>SUM(B80:B83)</f>
        <v>0</v>
      </c>
      <c r="C84" s="241">
        <f t="shared" ref="C84" si="31">SUM(C80:C83)</f>
        <v>0</v>
      </c>
      <c r="D84" s="241">
        <f t="shared" ref="D84" si="32">SUM(D80:D83)</f>
        <v>0</v>
      </c>
      <c r="E84" s="241">
        <f>SUM(E80:E83)</f>
        <v>0</v>
      </c>
      <c r="F84" s="241">
        <f t="shared" ref="F84" si="33">SUM(F80:F83)</f>
        <v>0</v>
      </c>
      <c r="G84" s="241">
        <f t="shared" ref="G84" si="34">SUM(G80:G83)</f>
        <v>0</v>
      </c>
      <c r="H84" s="241">
        <f t="shared" ref="H84" si="35">SUM(H80:H83)</f>
        <v>0</v>
      </c>
      <c r="I84" s="241">
        <f t="shared" ref="I84" si="36">SUM(I80:I83)</f>
        <v>0</v>
      </c>
      <c r="J84" s="241">
        <f t="shared" ref="J84" si="37">SUM(J80:J83)</f>
        <v>0</v>
      </c>
      <c r="K84" s="241">
        <f t="shared" ref="K84" si="38">SUM(K80:K83)</f>
        <v>0</v>
      </c>
      <c r="L84" s="241">
        <f t="shared" ref="L84" si="39">SUM(L80:L83)</f>
        <v>0</v>
      </c>
      <c r="M84" s="241">
        <f t="shared" ref="M84" si="40">SUM(M80:M83)</f>
        <v>0</v>
      </c>
      <c r="N84" s="241">
        <f t="shared" ref="N84" si="41">SUM(N80:N83)</f>
        <v>0</v>
      </c>
      <c r="O84" s="241">
        <f t="shared" ref="O84" si="42">SUM(O80:O83)</f>
        <v>0</v>
      </c>
    </row>
    <row r="85" spans="1:15" s="150" customFormat="1" x14ac:dyDescent="0.15">
      <c r="A85" s="238" t="s">
        <v>166</v>
      </c>
      <c r="B85" s="203"/>
      <c r="C85" s="203"/>
      <c r="D85" s="203"/>
      <c r="E85" s="203">
        <f>IF(E73&lt;ROUNDDOWN(E84,-2),E73,ROUNDDOWN(E84,-2))</f>
        <v>0</v>
      </c>
      <c r="F85" s="203"/>
      <c r="G85" s="203"/>
      <c r="H85" s="203">
        <f>IF(H73&lt;ROUNDDOWN(H84,-2),H73,ROUNDDOWN(H84,-2))</f>
        <v>0</v>
      </c>
      <c r="I85" s="203"/>
      <c r="J85" s="203"/>
      <c r="K85" s="203">
        <f>IF(K73&lt;ROUNDDOWN(K84,-2),K73,ROUNDDOWN(K84,-2))</f>
        <v>0</v>
      </c>
      <c r="L85" s="203"/>
      <c r="M85" s="203"/>
      <c r="N85" s="203">
        <f>IF(N73&lt;ROUNDDOWN(N84,-2),N73,ROUNDDOWN(N84,-2))</f>
        <v>0</v>
      </c>
      <c r="O85" s="203">
        <f>E85+H85+K85+N85</f>
        <v>0</v>
      </c>
    </row>
    <row r="86" spans="1:15" x14ac:dyDescent="0.15">
      <c r="N86" s="155" t="s">
        <v>161</v>
      </c>
      <c r="O86" s="155">
        <f>O84-O66</f>
        <v>0</v>
      </c>
    </row>
    <row r="87" spans="1:15" x14ac:dyDescent="0.15">
      <c r="E87" s="155"/>
    </row>
    <row r="88" spans="1:15" x14ac:dyDescent="0.15">
      <c r="A88" s="148" t="s">
        <v>175</v>
      </c>
      <c r="E88" s="155"/>
    </row>
    <row r="89" spans="1:15" x14ac:dyDescent="0.15">
      <c r="A89" s="155" t="s">
        <v>9</v>
      </c>
      <c r="B89" s="155" t="str">
        <f>試算シミュレーション!I62</f>
        <v/>
      </c>
    </row>
    <row r="90" spans="1:15" x14ac:dyDescent="0.15">
      <c r="A90" s="155" t="s">
        <v>16</v>
      </c>
      <c r="B90" s="155">
        <f>試算シミュレーション!G64</f>
        <v>7</v>
      </c>
      <c r="D90" s="170" t="s">
        <v>167</v>
      </c>
      <c r="E90" s="155" t="str">
        <f>VLOOKUP($B$90,$B$93:$G$101,6,FALSE)</f>
        <v/>
      </c>
      <c r="F90" s="170" t="s">
        <v>173</v>
      </c>
      <c r="G90" s="155" t="str">
        <f>VLOOKUP($B$90,$B$93:$G$101,4,FALSE)</f>
        <v/>
      </c>
    </row>
    <row r="91" spans="1:15" x14ac:dyDescent="0.15">
      <c r="D91" s="170"/>
      <c r="E91" s="155"/>
    </row>
    <row r="92" spans="1:15" x14ac:dyDescent="0.15">
      <c r="B92" s="248" t="s">
        <v>168</v>
      </c>
      <c r="C92" s="248" t="s">
        <v>169</v>
      </c>
      <c r="D92" s="249" t="s">
        <v>170</v>
      </c>
      <c r="E92" s="248" t="s">
        <v>171</v>
      </c>
      <c r="F92" s="248" t="s">
        <v>172</v>
      </c>
      <c r="G92" s="248" t="s">
        <v>174</v>
      </c>
    </row>
    <row r="93" spans="1:15" x14ac:dyDescent="0.15">
      <c r="B93" s="161">
        <v>7</v>
      </c>
      <c r="C93" s="161">
        <v>9</v>
      </c>
      <c r="D93" s="165" t="str">
        <f>IF(B89="","",$B$89/C93)</f>
        <v/>
      </c>
      <c r="E93" s="161" t="str">
        <f>IF(B89="","",ROUNDDOWN(D93,-3))</f>
        <v/>
      </c>
      <c r="F93" s="161" t="str">
        <f>IF(B89="","",E93*(C93-1))</f>
        <v/>
      </c>
      <c r="G93" s="161" t="str">
        <f>IF(B89="","",$B$89-F93)</f>
        <v/>
      </c>
    </row>
    <row r="94" spans="1:15" x14ac:dyDescent="0.15">
      <c r="B94" s="161">
        <v>8</v>
      </c>
      <c r="C94" s="161">
        <v>8</v>
      </c>
      <c r="D94" s="165" t="str">
        <f>IF(B89="","",$B$89/C94)</f>
        <v/>
      </c>
      <c r="E94" s="161" t="str">
        <f>IF(B89="","",ROUNDDOWN(D94,-3))</f>
        <v/>
      </c>
      <c r="F94" s="161" t="str">
        <f>IF(B89="","",E94*(C94-1))</f>
        <v/>
      </c>
      <c r="G94" s="161" t="str">
        <f>IF(B89="","",$B$89-F94)</f>
        <v/>
      </c>
    </row>
    <row r="95" spans="1:15" x14ac:dyDescent="0.15">
      <c r="B95" s="161">
        <v>9</v>
      </c>
      <c r="C95" s="161">
        <v>7</v>
      </c>
      <c r="D95" s="165" t="str">
        <f>IF(B89="","",$B$89/C95)</f>
        <v/>
      </c>
      <c r="E95" s="161" t="str">
        <f>IF(B89="","",ROUNDDOWN(D95,-3))</f>
        <v/>
      </c>
      <c r="F95" s="161" t="str">
        <f>IF(B89="","",E95*(C95-1))</f>
        <v/>
      </c>
      <c r="G95" s="161" t="str">
        <f>IF(B89="","",$B$89-F95)</f>
        <v/>
      </c>
    </row>
    <row r="96" spans="1:15" x14ac:dyDescent="0.15">
      <c r="B96" s="161">
        <v>10</v>
      </c>
      <c r="C96" s="161">
        <v>6</v>
      </c>
      <c r="D96" s="165" t="str">
        <f>IF(B89="","",$B$89/C96)</f>
        <v/>
      </c>
      <c r="E96" s="161" t="str">
        <f>IF(B89="","",ROUNDDOWN(D96,-3))</f>
        <v/>
      </c>
      <c r="F96" s="161" t="str">
        <f>IF(B89="","",E96*(C96-1))</f>
        <v/>
      </c>
      <c r="G96" s="161" t="str">
        <f>IF(B89="","",$B$89-F96)</f>
        <v/>
      </c>
    </row>
    <row r="97" spans="2:7" x14ac:dyDescent="0.15">
      <c r="B97" s="161">
        <v>11</v>
      </c>
      <c r="C97" s="161">
        <v>5</v>
      </c>
      <c r="D97" s="165" t="str">
        <f>IF(B89="","",$B$89/C97)</f>
        <v/>
      </c>
      <c r="E97" s="161" t="str">
        <f>IF(B89="","",ROUNDDOWN(D97,-3))</f>
        <v/>
      </c>
      <c r="F97" s="161" t="str">
        <f>IF(B89="","",E97*(C97-1))</f>
        <v/>
      </c>
      <c r="G97" s="161" t="str">
        <f>IF(B89="","",$B$89-F97)</f>
        <v/>
      </c>
    </row>
    <row r="98" spans="2:7" x14ac:dyDescent="0.15">
      <c r="B98" s="161">
        <v>12</v>
      </c>
      <c r="C98" s="161">
        <v>4</v>
      </c>
      <c r="D98" s="165" t="str">
        <f>IF(B89="","",$B$89/C98)</f>
        <v/>
      </c>
      <c r="E98" s="161" t="str">
        <f>IF(B89="","",ROUNDDOWN(D98,-3))</f>
        <v/>
      </c>
      <c r="F98" s="161" t="str">
        <f>IF(B89="","",E98*(C98-1))</f>
        <v/>
      </c>
      <c r="G98" s="161" t="str">
        <f>IF(B89="","",$B$89-F98)</f>
        <v/>
      </c>
    </row>
    <row r="99" spans="2:7" x14ac:dyDescent="0.15">
      <c r="B99" s="161">
        <v>1</v>
      </c>
      <c r="C99" s="161">
        <v>3</v>
      </c>
      <c r="D99" s="165" t="str">
        <f>IF(B89="","",$B$89/C99)</f>
        <v/>
      </c>
      <c r="E99" s="161" t="str">
        <f>IF(B89="","",ROUNDDOWN(D99,-3))</f>
        <v/>
      </c>
      <c r="F99" s="161" t="str">
        <f>IF(B89="","",E99*(C99-1))</f>
        <v/>
      </c>
      <c r="G99" s="161" t="str">
        <f>IF(B89="","",$B$89-F99)</f>
        <v/>
      </c>
    </row>
    <row r="100" spans="2:7" x14ac:dyDescent="0.15">
      <c r="B100" s="161">
        <v>2</v>
      </c>
      <c r="C100" s="161">
        <v>2</v>
      </c>
      <c r="D100" s="165" t="str">
        <f>IF(B89="","",$B$89/C100)</f>
        <v/>
      </c>
      <c r="E100" s="161" t="str">
        <f>IF(B89="","",ROUNDDOWN(D100,-3))</f>
        <v/>
      </c>
      <c r="F100" s="161" t="str">
        <f>IF(B89="","",E100*(C100-1))</f>
        <v/>
      </c>
      <c r="G100" s="161" t="str">
        <f>IF(B89="","",$B$89-F100)</f>
        <v/>
      </c>
    </row>
    <row r="101" spans="2:7" x14ac:dyDescent="0.15">
      <c r="B101" s="161">
        <v>3</v>
      </c>
      <c r="C101" s="161">
        <v>1</v>
      </c>
      <c r="D101" s="165" t="str">
        <f>IF(B89="","",$B$89/C101)</f>
        <v/>
      </c>
      <c r="E101" s="161">
        <v>0</v>
      </c>
      <c r="F101" s="161">
        <f>E101*(C101)</f>
        <v>0</v>
      </c>
      <c r="G101" s="161" t="str">
        <f>IF(B89="","",$B$89-F101)</f>
        <v/>
      </c>
    </row>
    <row r="102" spans="2:7" x14ac:dyDescent="0.15">
      <c r="D102" s="170"/>
      <c r="E102" s="155"/>
    </row>
  </sheetData>
  <mergeCells count="8">
    <mergeCell ref="B60:E60"/>
    <mergeCell ref="F60:H60"/>
    <mergeCell ref="I60:K60"/>
    <mergeCell ref="L60:N60"/>
    <mergeCell ref="B78:E78"/>
    <mergeCell ref="F78:H78"/>
    <mergeCell ref="I78:K78"/>
    <mergeCell ref="L78:N78"/>
  </mergeCells>
  <phoneticPr fontId="2"/>
  <printOptions headings="1" gridLines="1"/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試算シミュレーション</vt:lpstr>
      <vt:lpstr>所得計算R8</vt:lpstr>
      <vt:lpstr>試算シミュレーション!Print_Area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2026-06-18T00:09:34Z</cp:lastPrinted>
  <dcterms:created xsi:type="dcterms:W3CDTF">2003-06-18T02:06:04Z</dcterms:created>
  <dcterms:modified xsi:type="dcterms:W3CDTF">2026-06-18T01:11:57Z</dcterms:modified>
</cp:coreProperties>
</file>